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UPUESTO DAC OCT 2021" sheetId="1" state="visible" r:id="rId2"/>
    <sheet name="TABLAS SA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<sst xmlns="http://schemas.openxmlformats.org/spreadsheetml/2006/main" count="1352" uniqueCount="386">
  <si>
    <t xml:space="preserve">dac2014</t>
  </si>
  <si>
    <t xml:space="preserve">Presupuesto Medio Series 8 capítulos - Set 2021 a Mar 2022</t>
  </si>
  <si>
    <r>
      <rPr>
        <sz val="10"/>
        <rFont val="Arial"/>
        <family val="0"/>
        <charset val="1"/>
      </rPr>
      <t xml:space="preserve">Prep</t>
    </r>
    <r>
      <rPr>
        <sz val="10"/>
        <rFont val="Arial"/>
        <family val="2"/>
        <charset val="1"/>
      </rPr>
      <t xml:space="preserve">roducción</t>
    </r>
  </si>
  <si>
    <t xml:space="preserve">Días rodaje</t>
  </si>
  <si>
    <t xml:space="preserve">Rodaje</t>
  </si>
  <si>
    <t xml:space="preserve">Cot. Dólar</t>
  </si>
  <si>
    <t xml:space="preserve">Postproducción</t>
  </si>
  <si>
    <t xml:space="preserve">Capítulos</t>
  </si>
  <si>
    <t xml:space="preserve">RUBROS</t>
  </si>
  <si>
    <t xml:space="preserve">TOTAL</t>
  </si>
  <si>
    <t xml:space="preserve">IVA</t>
  </si>
  <si>
    <t xml:space="preserve">Total c/IVA</t>
  </si>
  <si>
    <r>
      <rPr>
        <b val="true"/>
        <sz val="14"/>
        <color rgb="FF000000"/>
        <rFont val="Calibri"/>
        <family val="2"/>
        <charset val="1"/>
      </rPr>
      <t xml:space="preserve">LIBRO/ARGUMENTO/GUIÓN </t>
    </r>
    <r>
      <rPr>
        <b val="true"/>
        <sz val="9"/>
        <color rgb="FFC82613"/>
        <rFont val="Calibri"/>
        <family val="2"/>
        <charset val="1"/>
      </rPr>
      <t xml:space="preserve">(CONFORME ARGENTORES INCLUYE 1 GUIONISTA - NO INCLUYE DESARROLLO DE BIBLIA Y DE PERSONAJES)</t>
    </r>
  </si>
  <si>
    <r>
      <rPr>
        <b val="true"/>
        <sz val="14"/>
        <rFont val="Calibri"/>
        <family val="2"/>
        <charset val="1"/>
      </rPr>
      <t xml:space="preserve">DIRECCIÓN</t>
    </r>
    <r>
      <rPr>
        <b val="true"/>
        <sz val="10"/>
        <color rgb="FFC00000"/>
        <rFont val="Calibri"/>
        <family val="2"/>
        <charset val="1"/>
      </rPr>
      <t xml:space="preserve"> (CONFORME DAC - SATSAID, INCLUYE 1 DIRECTOR. NO INCLUYE A TODOS LOS PUDIERAN PARTICIPAR EN EL RUBRO)</t>
    </r>
  </si>
  <si>
    <t xml:space="preserve">ELENCO</t>
  </si>
  <si>
    <t xml:space="preserve">CARGAS SOCIALES</t>
  </si>
  <si>
    <t xml:space="preserve">PRENSA</t>
  </si>
  <si>
    <t xml:space="preserve">IMPUESTOS</t>
  </si>
  <si>
    <t xml:space="preserve">CONTINGENCIA</t>
  </si>
  <si>
    <t xml:space="preserve">DAC2015</t>
  </si>
  <si>
    <t xml:space="preserve">TOTAL 8 capítulos </t>
  </si>
  <si>
    <t xml:space="preserve">TOTAL 8 capítulos con IVA</t>
  </si>
  <si>
    <t xml:space="preserve">TOTAL 1 capítulo </t>
  </si>
  <si>
    <t xml:space="preserve">TOTAL 1 capítulo con IVA</t>
  </si>
  <si>
    <t xml:space="preserve">DESGLOSE POR RUBROS</t>
  </si>
  <si>
    <t xml:space="preserve">LIBRO / ARGUMENTO / GUION</t>
  </si>
  <si>
    <t xml:space="preserve">Unidad</t>
  </si>
  <si>
    <t xml:space="preserve">Importe</t>
  </si>
  <si>
    <t xml:space="preserve">Cantidad</t>
  </si>
  <si>
    <t xml:space="preserve">LIBRO ORIGINAL </t>
  </si>
  <si>
    <t xml:space="preserve">Total </t>
  </si>
  <si>
    <t xml:space="preserve">GUION </t>
  </si>
  <si>
    <t xml:space="preserve">STORY BOARD</t>
  </si>
  <si>
    <t xml:space="preserve">RESCRITURAS </t>
  </si>
  <si>
    <t xml:space="preserve">COPISTERIA</t>
  </si>
  <si>
    <t xml:space="preserve">OTROS - Desarrollo</t>
  </si>
  <si>
    <t xml:space="preserve">TOTAL RUBRO 1</t>
  </si>
  <si>
    <t xml:space="preserve">TOTALES</t>
  </si>
  <si>
    <t xml:space="preserve">DIRECCION</t>
  </si>
  <si>
    <t xml:space="preserve">DIRECTOR</t>
  </si>
  <si>
    <t xml:space="preserve">CO-DIRECTOR</t>
  </si>
  <si>
    <t xml:space="preserve">OTROS - COREOGRAFO / DIRECTOR MUSICAL / COACH</t>
  </si>
  <si>
    <t xml:space="preserve">TOTAL RUBRO 2</t>
  </si>
  <si>
    <t xml:space="preserve">PRODUCCION</t>
  </si>
  <si>
    <t xml:space="preserve">DIRECTOR DE PRODUCCION</t>
  </si>
  <si>
    <t xml:space="preserve">PRODUCTOR EJECUTIVO</t>
  </si>
  <si>
    <t xml:space="preserve">PRODUCTOR DELEGADO</t>
  </si>
  <si>
    <t xml:space="preserve">SECRETARIA PRODUCCION</t>
  </si>
  <si>
    <t xml:space="preserve">Mes </t>
  </si>
  <si>
    <t xml:space="preserve">TOTAL RUBRO 3</t>
  </si>
  <si>
    <t xml:space="preserve">EQUIPO TECNICO</t>
  </si>
  <si>
    <r>
      <rPr>
        <b val="true"/>
        <i val="true"/>
        <sz val="10"/>
        <rFont val="Arial"/>
        <family val="2"/>
        <charset val="1"/>
      </rPr>
      <t xml:space="preserve"> BASE: Lunes a Viernes 7 hs diarias + 3 extras diarias = 10 hs totales. </t>
    </r>
    <r>
      <rPr>
        <b val="true"/>
        <i val="true"/>
        <sz val="10"/>
        <color rgb="FFFF0000"/>
        <rFont val="Arial"/>
        <family val="2"/>
        <charset val="1"/>
      </rPr>
      <t xml:space="preserve">Valores con Vigencia desde Octubre 2021 (con paritarias estimadas en un 45%)</t>
    </r>
  </si>
  <si>
    <t xml:space="preserve">PRODUCCION DE OFICINA</t>
  </si>
  <si>
    <t xml:space="preserve">COORDINADOR DE PRODUCCION (CAT 1)</t>
  </si>
  <si>
    <t xml:space="preserve">Preproducción</t>
  </si>
  <si>
    <t xml:space="preserve">Mens</t>
  </si>
  <si>
    <t xml:space="preserve">Hs Extras x Mes.</t>
  </si>
  <si>
    <t xml:space="preserve">Sábados</t>
  </si>
  <si>
    <t xml:space="preserve">Días </t>
  </si>
  <si>
    <t xml:space="preserve">Domingos</t>
  </si>
  <si>
    <t xml:space="preserve">Posproducción</t>
  </si>
  <si>
    <t xml:space="preserve">Mes</t>
  </si>
  <si>
    <t xml:space="preserve">Meses trabajados</t>
  </si>
  <si>
    <t xml:space="preserve">Remun. Bruta</t>
  </si>
  <si>
    <t xml:space="preserve">SAC</t>
  </si>
  <si>
    <r>
      <rPr>
        <sz val="10"/>
        <rFont val="Arial"/>
        <family val="0"/>
        <charset val="1"/>
      </rPr>
      <t xml:space="preserve">VAC</t>
    </r>
    <r>
      <rPr>
        <sz val="9"/>
        <rFont val="Arial"/>
        <family val="2"/>
        <charset val="1"/>
      </rPr>
      <t xml:space="preserve"> no gozadas</t>
    </r>
  </si>
  <si>
    <t xml:space="preserve">Total</t>
  </si>
  <si>
    <t xml:space="preserve">PRODUCTOR DE OFICINA (CAT 3)</t>
  </si>
  <si>
    <t xml:space="preserve">ASISTENTE DE PRODUCCION OFICINA (CAT 6)</t>
  </si>
  <si>
    <t xml:space="preserve">DIRECTOR DE CASTING (CAT 1)</t>
  </si>
  <si>
    <t xml:space="preserve">EQUIPO TECNICO DE EXTERIORES</t>
  </si>
  <si>
    <t xml:space="preserve">JEFE DE PRODUCCION (CAT 1)</t>
  </si>
  <si>
    <t xml:space="preserve">ASISTENTE DE PRODUCCION EXTERIORES  (2) (CAT 6)</t>
  </si>
  <si>
    <t xml:space="preserve">JEFE DE LOCACIONES  (CAT 1)</t>
  </si>
  <si>
    <t xml:space="preserve">ASISTENTE DE LOCACIONES (CAT 6)</t>
  </si>
  <si>
    <t xml:space="preserve">ASISTENTE DE DIRECCION (CAT 1)</t>
  </si>
  <si>
    <t xml:space="preserve"> CONTINUISTA (CAT 5)</t>
  </si>
  <si>
    <t xml:space="preserve">DIRECTOR DE FOTOGRAFIA (CAT 1)</t>
  </si>
  <si>
    <t xml:space="preserve">JEFE TECNICO (CAT 1)</t>
  </si>
  <si>
    <t xml:space="preserve">CAMAROGRAFO (2)  (CAT 2)</t>
  </si>
  <si>
    <t xml:space="preserve">ASISTENTE DE CAMARA FOQUISTA (2) (CAT 4)</t>
  </si>
  <si>
    <t xml:space="preserve">ASISTENTE DE CAMARA (2) (CAT 6)</t>
  </si>
  <si>
    <t xml:space="preserve">GRIP (CAT 5)</t>
  </si>
  <si>
    <t xml:space="preserve">DATA MANAGER - VIDEO ASSIST (CAT 2)</t>
  </si>
  <si>
    <t xml:space="preserve">GAFFER (CAT 4)</t>
  </si>
  <si>
    <t xml:space="preserve"> Mens </t>
  </si>
  <si>
    <t xml:space="preserve"> Mes </t>
  </si>
  <si>
    <t xml:space="preserve">REFLECTORISTA (2) (CAT 7)</t>
  </si>
  <si>
    <t xml:space="preserve">OPERADOR DE GENERADOR (7)</t>
  </si>
  <si>
    <t xml:space="preserve">DIRECTOR DE ARTE (CAT 1)</t>
  </si>
  <si>
    <t xml:space="preserve">COORDINADOR/A DE ARTE (CAT 3)</t>
  </si>
  <si>
    <t xml:space="preserve">ASISTENTE DE ARTE (CAT 6)</t>
  </si>
  <si>
    <t xml:space="preserve">AMBIENTADOR/A (CAT 2)</t>
  </si>
  <si>
    <t xml:space="preserve">UTILERO (CAT 6)</t>
  </si>
  <si>
    <t xml:space="preserve">VESTUARISTA (CAT 1)</t>
  </si>
  <si>
    <t xml:space="preserve">COORDINADOR DE VESTUARIO (CAT 3)</t>
  </si>
  <si>
    <t xml:space="preserve">ASISTENTE DE VESTUARIO DE CALLE (CAT 7)</t>
  </si>
  <si>
    <t xml:space="preserve">ASISTENTE DE VESTUARIO EN SET (CAT 7)</t>
  </si>
  <si>
    <t xml:space="preserve">COORDINADORA DE MAQUILLAJE &amp; PEINADO (CAT 1)</t>
  </si>
  <si>
    <t xml:space="preserve">PEINADOR (CAT 3)</t>
  </si>
  <si>
    <t xml:space="preserve">AYUDANTE DE MAQUILLAJE / PEINADO (CAT 6)</t>
  </si>
  <si>
    <t xml:space="preserve">OPERADOR DE SONIDO (CAT 4)</t>
  </si>
  <si>
    <t xml:space="preserve">MICROFONISTA (2) (CAT 7)</t>
  </si>
  <si>
    <t xml:space="preserve">EQUIPO DE POST PRODUCCION</t>
  </si>
  <si>
    <t xml:space="preserve">EDITOR (CAT 1) </t>
  </si>
  <si>
    <t xml:space="preserve">AYUDANTE DE EDICION / LOGGER (2 ) (CAT 6)</t>
  </si>
  <si>
    <t xml:space="preserve">COORDINADOR DE POST PRODUCCION  (CAT 3)</t>
  </si>
  <si>
    <t xml:space="preserve">ADMINISTRACIÓN</t>
  </si>
  <si>
    <t xml:space="preserve">OFICIAL ADMINISTRATIVO (CAT 5) </t>
  </si>
  <si>
    <t xml:space="preserve">AUXILIAR ADMINISTRATIVO (CAT 7) </t>
  </si>
  <si>
    <t xml:space="preserve">SUB TOTAL RUBRO 4</t>
  </si>
  <si>
    <t xml:space="preserve">ADICIONALES SAT</t>
  </si>
  <si>
    <t xml:space="preserve">julio a set 2021</t>
  </si>
  <si>
    <t xml:space="preserve">Antigüedad</t>
  </si>
  <si>
    <t xml:space="preserve">Comidas</t>
  </si>
  <si>
    <t xml:space="preserve">Jornada</t>
  </si>
  <si>
    <t xml:space="preserve">Merienda</t>
  </si>
  <si>
    <t xml:space="preserve">Exteriores</t>
  </si>
  <si>
    <t xml:space="preserve">Torre</t>
  </si>
  <si>
    <t xml:space="preserve">Guardería</t>
  </si>
  <si>
    <t xml:space="preserve">Ropa</t>
  </si>
  <si>
    <t xml:space="preserve">Global</t>
  </si>
  <si>
    <t xml:space="preserve">(2) Hs extras diarias por fuera de las 7+3 hs  para 10 técnicos.</t>
  </si>
  <si>
    <t xml:space="preserve">horas</t>
  </si>
  <si>
    <t xml:space="preserve">SUB TOTAL ADICIONALES</t>
  </si>
  <si>
    <t xml:space="preserve">TOTAL RUBRO 4</t>
  </si>
  <si>
    <t xml:space="preserve">AAA estimado</t>
  </si>
  <si>
    <t xml:space="preserve">APUNTADOR (CONTRATO MENSUAL)</t>
  </si>
  <si>
    <t xml:space="preserve">apuntador</t>
  </si>
  <si>
    <t xml:space="preserve">escalas hasta diciembre 2020</t>
  </si>
  <si>
    <t xml:space="preserve">Mensual</t>
  </si>
  <si>
    <t xml:space="preserve">ELENCO PRINCIPAL  (CONTRATO AAA  MENSUAL X 3 MESES)</t>
  </si>
  <si>
    <t xml:space="preserve">1 linea</t>
  </si>
  <si>
    <t xml:space="preserve">2 linea</t>
  </si>
  <si>
    <t xml:space="preserve">3 X Minimo  AAA</t>
  </si>
  <si>
    <t xml:space="preserve">Subtotal</t>
  </si>
  <si>
    <r>
      <rPr>
        <sz val="10"/>
        <rFont val="Arial"/>
        <family val="0"/>
        <charset val="1"/>
      </rPr>
      <t xml:space="preserve">x </t>
    </r>
    <r>
      <rPr>
        <sz val="10"/>
        <rFont val="Arial"/>
        <family val="2"/>
        <charset val="1"/>
      </rPr>
      <t xml:space="preserve">10 contratos</t>
    </r>
  </si>
  <si>
    <t xml:space="preserve">Meses</t>
  </si>
  <si>
    <t xml:space="preserve">ELENCO CO-PROTAGONISTA ( BOLO / 3 a 4 JORNADAS DE LABOR)</t>
  </si>
  <si>
    <t xml:space="preserve">1 Invitado 1 línea</t>
  </si>
  <si>
    <t xml:space="preserve">1 Actor 2 línea</t>
  </si>
  <si>
    <t xml:space="preserve">BOLOS MINIMOS (CANT. 5 X CAPITULO)</t>
  </si>
  <si>
    <t xml:space="preserve">Valor Bolo (6,25 hs)</t>
  </si>
  <si>
    <t xml:space="preserve">valor hora</t>
  </si>
  <si>
    <t xml:space="preserve">Valor Excedentes 180' </t>
  </si>
  <si>
    <t xml:space="preserve">bolo</t>
  </si>
  <si>
    <t xml:space="preserve">Valor  Bolo</t>
  </si>
  <si>
    <t xml:space="preserve">extras</t>
  </si>
  <si>
    <t xml:space="preserve">5 Bolos x capitulo</t>
  </si>
  <si>
    <t xml:space="preserve">EXTRAS (SUTEP)  (9  EXTRAS COMUNES X CAPITULO)</t>
  </si>
  <si>
    <t xml:space="preserve">escalas salariales hasta 2022</t>
  </si>
  <si>
    <t xml:space="preserve">Extra por Capitulo</t>
  </si>
  <si>
    <t xml:space="preserve">Hs. Extras Diurnas (3hs x Extra)</t>
  </si>
  <si>
    <t xml:space="preserve">Viáticos x traslado Capital Federal</t>
  </si>
  <si>
    <t xml:space="preserve">Valor extra especial (10 hs.)</t>
  </si>
  <si>
    <t xml:space="preserve">9 Extras  x capitulo + Planillero</t>
  </si>
  <si>
    <t xml:space="preserve">TOTAL RUBRO 5</t>
  </si>
  <si>
    <r>
      <rPr>
        <b val="true"/>
        <sz val="11"/>
        <rFont val="Arial"/>
        <family val="2"/>
        <charset val="1"/>
      </rPr>
      <t xml:space="preserve">CARGAS SOCIALES  </t>
    </r>
    <r>
      <rPr>
        <sz val="9"/>
        <rFont val="Arial"/>
        <family val="2"/>
        <charset val="1"/>
      </rPr>
      <t xml:space="preserve">  (incluye ART)</t>
    </r>
  </si>
  <si>
    <t xml:space="preserve">A.A.A</t>
  </si>
  <si>
    <t xml:space="preserve">SAT </t>
  </si>
  <si>
    <t xml:space="preserve">SADEM</t>
  </si>
  <si>
    <t xml:space="preserve">SUTEP</t>
  </si>
  <si>
    <t xml:space="preserve">TOTAL RUBRO 6</t>
  </si>
  <si>
    <t xml:space="preserve">VESTUARIO</t>
  </si>
  <si>
    <t xml:space="preserve">COMPRA MATERIALES (Realizaciones + insumos)</t>
  </si>
  <si>
    <t xml:space="preserve">REALIZACIONES </t>
  </si>
  <si>
    <t xml:space="preserve">ACCESORIOS</t>
  </si>
  <si>
    <t xml:space="preserve">ALQUILERES</t>
  </si>
  <si>
    <t xml:space="preserve">MANTENIMIENTO Y LIMPIEZA</t>
  </si>
  <si>
    <t xml:space="preserve">LAVANDERIA, TINTORERIA, ARREGLOS, etc.</t>
  </si>
  <si>
    <t xml:space="preserve">OTROS SERVICIOS</t>
  </si>
  <si>
    <t xml:space="preserve">ALQUILER DEPOSITO VESTUARIO</t>
  </si>
  <si>
    <t xml:space="preserve">TOTAL RUBRO 7</t>
  </si>
  <si>
    <t xml:space="preserve">MAQUILLAJE</t>
  </si>
  <si>
    <t xml:space="preserve">COMPRA MATERIALES</t>
  </si>
  <si>
    <t xml:space="preserve">REALIZACIONES Y EFECTOS</t>
  </si>
  <si>
    <t xml:space="preserve">REPOSICIONES</t>
  </si>
  <si>
    <t xml:space="preserve">Reposición Maquillaje</t>
  </si>
  <si>
    <t xml:space="preserve">Reposición materiales de Peinado</t>
  </si>
  <si>
    <t xml:space="preserve">OTROS (postizos, tatuajes, etc)</t>
  </si>
  <si>
    <t xml:space="preserve">Sem.</t>
  </si>
  <si>
    <t xml:space="preserve">TOTAL RUBRO 8</t>
  </si>
  <si>
    <t xml:space="preserve">UTILERIA/AMBIENTACIÓN</t>
  </si>
  <si>
    <t xml:space="preserve">COMPRAS</t>
  </si>
  <si>
    <t xml:space="preserve">Capitulo</t>
  </si>
  <si>
    <t xml:space="preserve">REALIZACIONES</t>
  </si>
  <si>
    <t xml:space="preserve">AYUDANTES </t>
  </si>
  <si>
    <t xml:space="preserve">Semana</t>
  </si>
  <si>
    <t xml:space="preserve">TOTAL RUBRO 9</t>
  </si>
  <si>
    <t xml:space="preserve">ESCENOGRAFIA</t>
  </si>
  <si>
    <t xml:space="preserve">AMBIENTACION</t>
  </si>
  <si>
    <t xml:space="preserve">REALIZACIONES / MODIFICACIONES DECORADOS, pinturas, etc.</t>
  </si>
  <si>
    <t xml:space="preserve">ALQUILER DEPÓSITO DE ARTE</t>
  </si>
  <si>
    <t xml:space="preserve">TOTAL RUBRO 10</t>
  </si>
  <si>
    <t xml:space="preserve">LOCACIONES</t>
  </si>
  <si>
    <t xml:space="preserve">ALQUILERES (Jornadas 10 hs)</t>
  </si>
  <si>
    <t xml:space="preserve">Locación Principal 1 por capitulo (4 Jornadas x semana)</t>
  </si>
  <si>
    <t xml:space="preserve">Locación Secundaria</t>
  </si>
  <si>
    <t xml:space="preserve">Bases (valor x Jornada 5 x semana)</t>
  </si>
  <si>
    <t xml:space="preserve">Otras Locaciones 1 por capitulo ( 1Jornada x semana)</t>
  </si>
  <si>
    <t xml:space="preserve">Limpieza de Locaciones (Valor diario 1 servicio por semana)</t>
  </si>
  <si>
    <t xml:space="preserve">PERMISOS DE RODAJE (12 hs) Los valores son cada 130 mts</t>
  </si>
  <si>
    <t xml:space="preserve">tarifas 2021 baset</t>
  </si>
  <si>
    <t xml:space="preserve">30% estimado</t>
  </si>
  <si>
    <t xml:space="preserve">tarifa baset estimada </t>
  </si>
  <si>
    <r>
      <rPr>
        <sz val="10"/>
        <rFont val="Arial"/>
        <family val="0"/>
        <charset val="1"/>
      </rPr>
      <t xml:space="preserve">BASET - Habilitación Vía Pública </t>
    </r>
    <r>
      <rPr>
        <b val="true"/>
        <sz val="10"/>
        <rFont val="Arial"/>
        <family val="2"/>
        <charset val="1"/>
      </rPr>
      <t xml:space="preserve">(semestral) </t>
    </r>
  </si>
  <si>
    <r>
      <rPr>
        <sz val="10"/>
        <rFont val="Arial"/>
        <family val="0"/>
        <charset val="1"/>
      </rPr>
      <t xml:space="preserve">BASET - Cortes de Calle "Resto de la Ciudad" Diurno </t>
    </r>
    <r>
      <rPr>
        <b val="true"/>
        <sz val="10"/>
        <rFont val="Arial"/>
        <family val="2"/>
        <charset val="1"/>
      </rPr>
      <t xml:space="preserve">(1 x semana)</t>
    </r>
  </si>
  <si>
    <r>
      <rPr>
        <sz val="10"/>
        <rFont val="Arial"/>
        <family val="0"/>
        <charset val="1"/>
      </rPr>
      <t xml:space="preserve">BASET - Reducción Carril para despeje "Resto de la Ciudad" Diurno </t>
    </r>
    <r>
      <rPr>
        <b val="true"/>
        <sz val="10"/>
        <rFont val="Arial"/>
        <family val="2"/>
        <charset val="1"/>
      </rPr>
      <t xml:space="preserve">(1 x día)</t>
    </r>
  </si>
  <si>
    <r>
      <rPr>
        <sz val="10"/>
        <rFont val="Arial"/>
        <family val="0"/>
        <charset val="1"/>
      </rPr>
      <t xml:space="preserve">BASET -  Bocacalle "Resto de la Ciudad" Diurno </t>
    </r>
    <r>
      <rPr>
        <b val="true"/>
        <sz val="10"/>
        <rFont val="Arial"/>
        <family val="2"/>
        <charset val="1"/>
      </rPr>
      <t xml:space="preserve">(3 en los 8 capitulos)</t>
    </r>
  </si>
  <si>
    <r>
      <rPr>
        <sz val="10"/>
        <rFont val="Arial"/>
        <family val="0"/>
        <charset val="1"/>
      </rPr>
      <t xml:space="preserve">BASET - Estacionamiento vehiculos Recorrido con Base </t>
    </r>
    <r>
      <rPr>
        <b val="true"/>
        <sz val="10"/>
        <rFont val="Arial"/>
        <family val="2"/>
        <charset val="1"/>
      </rPr>
      <t xml:space="preserve">(2 en los8 capitulos)</t>
    </r>
  </si>
  <si>
    <r>
      <rPr>
        <sz val="10"/>
        <rFont val="Arial"/>
        <family val="0"/>
        <charset val="1"/>
      </rPr>
      <t xml:space="preserve">BASET - Espacios Verdes, jornadas de rodaje </t>
    </r>
    <r>
      <rPr>
        <b val="true"/>
        <sz val="10"/>
        <rFont val="Arial"/>
        <family val="2"/>
        <charset val="1"/>
      </rPr>
      <t xml:space="preserve">(5 plazas en toda la serie )</t>
    </r>
  </si>
  <si>
    <r>
      <rPr>
        <sz val="10"/>
        <rFont val="Arial"/>
        <family val="0"/>
        <charset val="1"/>
      </rPr>
      <t xml:space="preserve">BASET- Vereda </t>
    </r>
    <r>
      <rPr>
        <b val="true"/>
        <sz val="10"/>
        <rFont val="Arial"/>
        <family val="2"/>
        <charset val="1"/>
      </rPr>
      <t xml:space="preserve">(1 x capitulo)</t>
    </r>
  </si>
  <si>
    <t xml:space="preserve">Días</t>
  </si>
  <si>
    <r>
      <rPr>
        <sz val="10"/>
        <rFont val="Arial"/>
        <family val="0"/>
        <charset val="1"/>
      </rPr>
      <t xml:space="preserve">BASET - Estacionamiento vehiculos de filmación </t>
    </r>
    <r>
      <rPr>
        <b val="true"/>
        <sz val="10"/>
        <rFont val="Arial"/>
        <family val="2"/>
        <charset val="1"/>
      </rPr>
      <t xml:space="preserve">(1 x dia)</t>
    </r>
  </si>
  <si>
    <r>
      <rPr>
        <sz val="10"/>
        <rFont val="Arial"/>
        <family val="0"/>
        <charset val="1"/>
      </rPr>
      <t xml:space="preserve">Baset Gestion de tramite </t>
    </r>
    <r>
      <rPr>
        <b val="true"/>
        <sz val="10"/>
        <rFont val="Arial"/>
        <family val="2"/>
        <charset val="1"/>
      </rPr>
      <t xml:space="preserve">(por tramite)</t>
    </r>
  </si>
  <si>
    <t xml:space="preserve">Tramite</t>
  </si>
  <si>
    <t xml:space="preserve">OTROS</t>
  </si>
  <si>
    <t xml:space="preserve">Movilidad Locador</t>
  </si>
  <si>
    <t xml:space="preserve">Combustible</t>
  </si>
  <si>
    <t xml:space="preserve">Varios de Locaciones, estacionamientos y peajes</t>
  </si>
  <si>
    <t xml:space="preserve">TOTAL RUBRO 11</t>
  </si>
  <si>
    <t xml:space="preserve">MATERIAL DE ARCHIVO</t>
  </si>
  <si>
    <t xml:space="preserve">CONTRATACIONES DE MATERIAL DE ARCHIVO</t>
  </si>
  <si>
    <t xml:space="preserve">TOTAL RUBRO 12</t>
  </si>
  <si>
    <t xml:space="preserve">MUSICA</t>
  </si>
  <si>
    <r>
      <rPr>
        <b val="true"/>
        <sz val="10"/>
        <rFont val="Arial"/>
        <family val="2"/>
        <charset val="1"/>
      </rPr>
      <t xml:space="preserve">COMPOSITOR </t>
    </r>
    <r>
      <rPr>
        <sz val="10"/>
        <rFont val="Arial"/>
        <family val="2"/>
        <charset val="1"/>
      </rPr>
      <t xml:space="preserve">(cortina, Música fondo, leit-motiv, etc.) Autoría Integral (SADAIC)</t>
    </r>
  </si>
  <si>
    <r>
      <rPr>
        <sz val="10"/>
        <rFont val="Arial"/>
        <family val="0"/>
        <charset val="1"/>
      </rPr>
      <t xml:space="preserve">Derechos Régimen Telefilm (SADAIC) vigencia hasta Agosto 20</t>
    </r>
    <r>
      <rPr>
        <sz val="10"/>
        <rFont val="Arial"/>
        <family val="2"/>
        <charset val="1"/>
      </rPr>
      <t xml:space="preserve">20</t>
    </r>
  </si>
  <si>
    <r>
      <rPr>
        <b val="true"/>
        <sz val="10"/>
        <rFont val="Arial"/>
        <family val="2"/>
        <charset val="1"/>
      </rPr>
      <t xml:space="preserve">SADEM </t>
    </r>
    <r>
      <rPr>
        <sz val="10"/>
        <rFont val="Arial"/>
        <family val="2"/>
        <charset val="1"/>
      </rPr>
      <t xml:space="preserve">(x interpretación) música original </t>
    </r>
  </si>
  <si>
    <t xml:space="preserve">OTROS COSTOS</t>
  </si>
  <si>
    <t xml:space="preserve">TOTAL RUBRO 13</t>
  </si>
  <si>
    <t xml:space="preserve">LAB &amp; MEDIA MANAGEMENT</t>
  </si>
  <si>
    <t xml:space="preserve">DISCOS DUROS EXTERNOS</t>
  </si>
  <si>
    <t xml:space="preserve">6 tarjetas </t>
  </si>
  <si>
    <t xml:space="preserve">storage on line</t>
  </si>
  <si>
    <t xml:space="preserve">data storage</t>
  </si>
  <si>
    <t xml:space="preserve">OTROS MATERIALES</t>
  </si>
  <si>
    <t xml:space="preserve">TOTAL RUBRO 14</t>
  </si>
  <si>
    <t xml:space="preserve">PROCESO DE POSTPRODUCCIÓN</t>
  </si>
  <si>
    <t xml:space="preserve">DETALLE POST DE VIDEO</t>
  </si>
  <si>
    <t xml:space="preserve">Ingesta y Back up de Material - Alquiler de isla de edición</t>
  </si>
  <si>
    <t xml:space="preserve">y complementaria para asistente - incluye corrección vfx sencillos</t>
  </si>
  <si>
    <t xml:space="preserve">VFX - GRÁFICA APERTURA / TÍTULOS</t>
  </si>
  <si>
    <t xml:space="preserve">Servicios Gráficos y de Efectos Visuales para Apertura / Títulos</t>
  </si>
  <si>
    <t xml:space="preserve">CORRECCION DE COLOR - ON LINE</t>
  </si>
  <si>
    <t xml:space="preserve">Conformado On Line y Corrección de color en Scratch (con colorista) </t>
  </si>
  <si>
    <t xml:space="preserve">Capítulo</t>
  </si>
  <si>
    <t xml:space="preserve">TOTAL RUBRO 15</t>
  </si>
  <si>
    <t xml:space="preserve">PROCESOS DE SONIDO</t>
  </si>
  <si>
    <t xml:space="preserve"> Unidad</t>
  </si>
  <si>
    <t xml:space="preserve">SUB TOTAL</t>
  </si>
  <si>
    <t xml:space="preserve">POST DE SONIDO Y MEZCLA</t>
  </si>
  <si>
    <t xml:space="preserve">Post y Mezcla de sonido en Protools. </t>
  </si>
  <si>
    <t xml:space="preserve">Mezcla </t>
  </si>
  <si>
    <t xml:space="preserve">TOTAL RUBRO 16</t>
  </si>
  <si>
    <t xml:space="preserve">EQUIPOS DE CAMARAS/LUCES/SONIDO</t>
  </si>
  <si>
    <t xml:space="preserve">CAMARA (Equipamiento completo de cámara y monitoreo)</t>
  </si>
  <si>
    <r>
      <rPr>
        <sz val="10"/>
        <rFont val="Arial"/>
        <family val="0"/>
        <charset val="1"/>
      </rPr>
      <t xml:space="preserve">2 Cámaras (Alexa / </t>
    </r>
    <r>
      <rPr>
        <sz val="10"/>
        <rFont val="Arial"/>
        <family val="2"/>
        <charset val="1"/>
      </rPr>
      <t xml:space="preserve">Venice) + Opticas (Compact Prime SET / 18-35-50-85-135 MM)</t>
    </r>
  </si>
  <si>
    <t xml:space="preserve"> + Accesorios (Hand grip, Follow focus Trípodes, filtros varios, Monitores 24"</t>
  </si>
  <si>
    <t xml:space="preserve">Tv logic  con instrumentos para monitoreo, tarjetas, etc.) </t>
  </si>
  <si>
    <t xml:space="preserve">ESTACION DE BAJADA</t>
  </si>
  <si>
    <t xml:space="preserve"> MacBook Pro 15" RETINA - Intel Core i7 2.6 GHz - 16 GB RAM - HD 1 TB SSD -GEFORCE G750M 2048 MB- 1x
Puerto HDMI -2x USB3 – 2x Thunderbolt – 1x Ranura SD Card
-1x CalDigit TS2 - Dock Station - 2 puertos eSata - 2 puertos Thunderbolt - 2 puertos USB3
-1x Soft para Data Managment Shotput Pro
-1x Soft para Trasco DaVinci Resolve Lite 
-1 grabador de Video Devices </t>
  </si>
  <si>
    <t xml:space="preserve">LUCES</t>
  </si>
  <si>
    <t xml:space="preserve">Faroles: H.M.I. - Fresneles -  Artefactos de tubos</t>
  </si>
  <si>
    <t xml:space="preserve">Accesorios (Trípodes, líneas, tableros, zapatillas,bolsas de arena, tres medidas ,</t>
  </si>
  <si>
    <t xml:space="preserve">pantallas banderas, marcos,portatelgos,barracudas, plaquetas, alargues, etc)</t>
  </si>
  <si>
    <t xml:space="preserve">mes</t>
  </si>
  <si>
    <t xml:space="preserve">GRIP</t>
  </si>
  <si>
    <t xml:space="preserve">Carro de travelling y Accesorios ( Vías rectas y curvas, bolsas, </t>
  </si>
  <si>
    <t xml:space="preserve"> 3 medidas, set de cuñas , Etc)</t>
  </si>
  <si>
    <t xml:space="preserve">CONSUMOS, REPOSICIONES, ROTURAS</t>
  </si>
  <si>
    <t xml:space="preserve"> Varios: cámaras, luces, accesorios, grip, etc  </t>
  </si>
  <si>
    <t xml:space="preserve">EQUIPOS DE SONIDO</t>
  </si>
  <si>
    <t xml:space="preserve">Grabador Multitrack 8 canales</t>
  </si>
  <si>
    <t xml:space="preserve">Sistema de monitoreo inhalambrico y auriculares, 4 Sist. Inalámbrico Lectrosonic, </t>
  </si>
  <si>
    <t xml:space="preserve">2 Micrófonos boom Sennheizer 416 Phantom  / 2 zeppelin Sennheiser</t>
  </si>
  <si>
    <t xml:space="preserve">2 Microfonos Sennheiser MKH 416P , Sistema IFB zaxcom.</t>
  </si>
  <si>
    <t xml:space="preserve"> Carro portaequipos, Manguera de mic y retorno, accesorios, etc. </t>
  </si>
  <si>
    <t xml:space="preserve">EQUIPOS DE COMUNICACIÓN (Handies)</t>
  </si>
  <si>
    <t xml:space="preserve">15 equipos  + Accesorios, cargadores, Baterías, caja de traslado. TOTAL</t>
  </si>
  <si>
    <t xml:space="preserve">STEADYCAM con Operador</t>
  </si>
  <si>
    <t xml:space="preserve">GRIPS especiales</t>
  </si>
  <si>
    <t xml:space="preserve">GRUA </t>
  </si>
  <si>
    <t xml:space="preserve">ALQUILER EQUIPAMIENTO ESPECIAL para LUCES (Grúas, etc.)</t>
  </si>
  <si>
    <t xml:space="preserve">COMPRAS VARIAS - para CAMARA, LUCES, GRIP Y SONIDO</t>
  </si>
  <si>
    <t xml:space="preserve">TOTAL RUBRO 17</t>
  </si>
  <si>
    <t xml:space="preserve">EFECTOS ESPECIALES</t>
  </si>
  <si>
    <t xml:space="preserve">CONTRATACION EMPRESA EFECTOS ESPECIALES EN SET</t>
  </si>
  <si>
    <t xml:space="preserve">Ej. Lluvia, Stunts, armas, disparos, explosiones, etc. </t>
  </si>
  <si>
    <t xml:space="preserve">OTROS - MATERIALES</t>
  </si>
  <si>
    <t xml:space="preserve">TOTAL RUBRO 18</t>
  </si>
  <si>
    <t xml:space="preserve">MOVILIDAD</t>
  </si>
  <si>
    <t xml:space="preserve">AUTOS DE ACCION  ( 2 Autos por semana)</t>
  </si>
  <si>
    <t xml:space="preserve">VEHICULOS DE PRODUCCION</t>
  </si>
  <si>
    <t xml:space="preserve">Remises - Varios - Actores</t>
  </si>
  <si>
    <t xml:space="preserve">Auto Vestuario (con Chofer) incluye Combustible</t>
  </si>
  <si>
    <t xml:space="preserve">Van Departamento de Arte  (con Chofer) </t>
  </si>
  <si>
    <t xml:space="preserve">VAN traslados equipo rodaje X 2 - 100 km. Libres (incl. Scouting)</t>
  </si>
  <si>
    <t xml:space="preserve">Estacionamiento  - Peajes</t>
  </si>
  <si>
    <t xml:space="preserve">TAXIS - REMISES - TRENES - SUBTERRANEOS</t>
  </si>
  <si>
    <t xml:space="preserve">MOTORHOMES, TRAILERS Y CAMIONES DE CARGA</t>
  </si>
  <si>
    <r>
      <rPr>
        <sz val="10"/>
        <rFont val="Arial"/>
        <family val="0"/>
        <charset val="1"/>
      </rPr>
      <t xml:space="preserve">CAMARA Y SONIDO</t>
    </r>
    <r>
      <rPr>
        <sz val="10"/>
        <rFont val="Arial"/>
        <family val="2"/>
        <charset val="1"/>
      </rPr>
      <t xml:space="preserve"> (Furgon)</t>
    </r>
  </si>
  <si>
    <r>
      <rPr>
        <sz val="10"/>
        <rFont val="Arial"/>
        <family val="0"/>
        <charset val="1"/>
      </rPr>
      <t xml:space="preserve">MATERIAL ELECTRICO y GRIP</t>
    </r>
    <r>
      <rPr>
        <sz val="10"/>
        <rFont val="Arial"/>
        <family val="2"/>
        <charset val="1"/>
      </rPr>
      <t xml:space="preserve"> (camión mediano)</t>
    </r>
  </si>
  <si>
    <r>
      <rPr>
        <sz val="10"/>
        <rFont val="Arial"/>
        <family val="0"/>
        <charset val="1"/>
      </rPr>
      <t xml:space="preserve">MOTOR HOME VESTUARIO</t>
    </r>
    <r>
      <rPr>
        <sz val="10"/>
        <rFont val="Arial"/>
        <family val="2"/>
        <charset val="1"/>
      </rPr>
      <t xml:space="preserve">/ Maquillaje</t>
    </r>
  </si>
  <si>
    <t xml:space="preserve">PASAJES AL INTERIOR</t>
  </si>
  <si>
    <t xml:space="preserve">Aereos</t>
  </si>
  <si>
    <t xml:space="preserve">Cant.</t>
  </si>
  <si>
    <t xml:space="preserve">Micro</t>
  </si>
  <si>
    <t xml:space="preserve">PASAJES AL EXTERIOR</t>
  </si>
  <si>
    <t xml:space="preserve">Gastos transporte aeropuertos</t>
  </si>
  <si>
    <t xml:space="preserve">Tickets aéreos</t>
  </si>
  <si>
    <t xml:space="preserve">FLETES DE EQUIPOS Y UTILERA</t>
  </si>
  <si>
    <t xml:space="preserve">FLETES - Utilería, ambientación, Producción (Pre., Rodaje y Pos.)</t>
  </si>
  <si>
    <t xml:space="preserve">total</t>
  </si>
  <si>
    <t xml:space="preserve">Peones. (carga y descarga) </t>
  </si>
  <si>
    <t xml:space="preserve">Transporte vehículos de acción</t>
  </si>
  <si>
    <t xml:space="preserve">Transporte equipos especiales (gruas, construcciones luces, etc)</t>
  </si>
  <si>
    <t xml:space="preserve">TOTAL RUBRO 19</t>
  </si>
  <si>
    <t xml:space="preserve">FUERZA MOTRIZ</t>
  </si>
  <si>
    <t xml:space="preserve">ALQUILER GENERADOR</t>
  </si>
  <si>
    <t xml:space="preserve">Generador Principal y Generadores Portatiles</t>
  </si>
  <si>
    <t xml:space="preserve">Semanal</t>
  </si>
  <si>
    <t xml:space="preserve">COMBUSTIBLE GENERADOR</t>
  </si>
  <si>
    <t xml:space="preserve">COMBUSTIBLE PARA RODADOS</t>
  </si>
  <si>
    <t xml:space="preserve"> </t>
  </si>
  <si>
    <t xml:space="preserve">AUTOS</t>
  </si>
  <si>
    <t xml:space="preserve">TOTAL RUBRO 20</t>
  </si>
  <si>
    <t xml:space="preserve">COMIDAS</t>
  </si>
  <si>
    <t xml:space="preserve">SERVICIO DE CATERING  (Desayuno y Almuerzo ) </t>
  </si>
  <si>
    <t xml:space="preserve">Comidas x día</t>
  </si>
  <si>
    <t xml:space="preserve">PERSONAL TECNICO, ARTISTICO, CHOFERES, SEGURIDAD,  etc. </t>
  </si>
  <si>
    <t xml:space="preserve">Comidas Crew Avanzada 2 veces por semana.</t>
  </si>
  <si>
    <t xml:space="preserve">Comidas en Pruebas de Maquillaje y Peinado / Pruebas de Cámara / Scounting</t>
  </si>
  <si>
    <t xml:space="preserve">TOTAL RUBRO 21</t>
  </si>
  <si>
    <t xml:space="preserve">ADMINISTRACION</t>
  </si>
  <si>
    <t xml:space="preserve">ALQUILER DE OFICINAS </t>
  </si>
  <si>
    <t xml:space="preserve">CADETERIA Y MENSAJERIA </t>
  </si>
  <si>
    <t xml:space="preserve">PAPELERIA DE OFICINA </t>
  </si>
  <si>
    <t xml:space="preserve">SERVICIOS</t>
  </si>
  <si>
    <t xml:space="preserve">TELEFONIA FIJA BASICA </t>
  </si>
  <si>
    <t xml:space="preserve">TELEFONIA MOVIL (PARA 20 PERSONAS ALQUILER Y CONSUMO)</t>
  </si>
  <si>
    <t xml:space="preserve">HONORARIOS LEGALES</t>
  </si>
  <si>
    <t xml:space="preserve">HONORARIOS PROFESIONAL CONTABLE</t>
  </si>
  <si>
    <r>
      <rPr>
        <b val="true"/>
        <sz val="10"/>
        <rFont val="Arial"/>
        <family val="2"/>
        <charset val="1"/>
      </rPr>
      <t xml:space="preserve">GESTIÓN PERMISO DE MENORES </t>
    </r>
    <r>
      <rPr>
        <sz val="10"/>
        <rFont val="Arial"/>
        <family val="2"/>
        <charset val="1"/>
      </rPr>
      <t xml:space="preserve">(EVENTUAL)</t>
    </r>
  </si>
  <si>
    <t xml:space="preserve">CAJA CHICA OFICINA</t>
  </si>
  <si>
    <t xml:space="preserve">VARIOS DE PRODUCCION</t>
  </si>
  <si>
    <t xml:space="preserve">MULTICOPIADORA</t>
  </si>
  <si>
    <t xml:space="preserve">OTROS </t>
  </si>
  <si>
    <t xml:space="preserve">TOTAL RUBRO 22</t>
  </si>
  <si>
    <t xml:space="preserve">SEGUROS</t>
  </si>
  <si>
    <t xml:space="preserve">SEGUROS EQUIPOS Y RC</t>
  </si>
  <si>
    <t xml:space="preserve">Equipamiento / Responsabilidad Civil</t>
  </si>
  <si>
    <r>
      <rPr>
        <b val="true"/>
        <sz val="10"/>
        <rFont val="Arial"/>
        <family val="2"/>
        <charset val="1"/>
      </rPr>
      <t xml:space="preserve">ACCIDENTES PERSONALES</t>
    </r>
    <r>
      <rPr>
        <sz val="10"/>
        <rFont val="Arial"/>
        <family val="2"/>
        <charset val="1"/>
      </rPr>
      <t xml:space="preserve"> (Proveedores y Extras)</t>
    </r>
  </si>
  <si>
    <t xml:space="preserve">TOTAL RUBRO 23</t>
  </si>
  <si>
    <t xml:space="preserve">Impresión de banners, evento de presentación, fotógrafos, etc</t>
  </si>
  <si>
    <t xml:space="preserve">TOTAL RUBRO 24</t>
  </si>
  <si>
    <t xml:space="preserve">SEGURIDAD</t>
  </si>
  <si>
    <r>
      <rPr>
        <b val="true"/>
        <sz val="10"/>
        <rFont val="Arial"/>
        <family val="2"/>
        <charset val="1"/>
      </rPr>
      <t xml:space="preserve">SEGURIDAD PARA FILMACION</t>
    </r>
    <r>
      <rPr>
        <sz val="10"/>
        <rFont val="Arial"/>
        <family val="2"/>
        <charset val="1"/>
      </rPr>
      <t xml:space="preserve"> (1 x día + 1 de despeje x 2 días x sem)</t>
    </r>
  </si>
  <si>
    <t xml:space="preserve">TOTAL RUBRO 25</t>
  </si>
  <si>
    <t xml:space="preserve">IMPUESTOS a los Débitos y Créditos</t>
  </si>
  <si>
    <t xml:space="preserve">IIBB</t>
  </si>
  <si>
    <r>
      <rPr>
        <b val="true"/>
        <sz val="10"/>
        <rFont val="Arial"/>
        <family val="2"/>
        <charset val="1"/>
      </rPr>
      <t xml:space="preserve">IVA </t>
    </r>
    <r>
      <rPr>
        <sz val="10"/>
        <rFont val="Arial"/>
        <family val="2"/>
        <charset val="1"/>
      </rPr>
      <t xml:space="preserve">(Está calculado en cada Rubro)</t>
    </r>
  </si>
  <si>
    <t xml:space="preserve">TOTAL RUBRO 26</t>
  </si>
  <si>
    <t xml:space="preserve">CONTINGENCIAS</t>
  </si>
  <si>
    <t xml:space="preserve">3% DEL COSTO TOTAL</t>
  </si>
  <si>
    <t xml:space="preserve">TOTAL RUBRO 27</t>
  </si>
  <si>
    <t xml:space="preserve">Escala</t>
  </si>
  <si>
    <t xml:space="preserve">Bruto 7hs  OCT-21</t>
  </si>
  <si>
    <t xml:space="preserve">Bruto 8hs   OCT-21</t>
  </si>
  <si>
    <t xml:space="preserve">Bruto 9hs   OCT-21</t>
  </si>
  <si>
    <t xml:space="preserve">Bruto 10hs   OCT-21</t>
  </si>
  <si>
    <t xml:space="preserve">Bruto 11hs   OCT-21</t>
  </si>
  <si>
    <t xml:space="preserve">Bruto 12hs   OCT-21</t>
  </si>
  <si>
    <t xml:space="preserve">Bruto 13hs   OCT-21</t>
  </si>
  <si>
    <t xml:space="preserve">Funciones</t>
  </si>
  <si>
    <t xml:space="preserve">A</t>
  </si>
  <si>
    <t xml:space="preserve">sat.julio 2021</t>
  </si>
  <si>
    <t xml:space="preserve">sat estimado</t>
  </si>
  <si>
    <t xml:space="preserve">Director - Productor</t>
  </si>
  <si>
    <t xml:space="preserve">Realizador - Escenógrafo - Iluminador</t>
  </si>
  <si>
    <t xml:space="preserve">Asistente dirección - Vestuarista - Coordinador - Operador de cámaras / VTR</t>
  </si>
  <si>
    <t xml:space="preserve">Operador de cámara - Sonidista - Op.tecn.video - Realizador escenografía</t>
  </si>
  <si>
    <t xml:space="preserve">Ambientador - Asist.iluminación - Continuista - of.adm - técnico electricista</t>
  </si>
  <si>
    <t xml:space="preserve">Asistente prod - Caracterizador - Utilero Realizador</t>
  </si>
  <si>
    <t xml:space="preserve">Asistente arte - Asistente grip - Microfonista - Modista realizadora - Peinador - Reflectorista - Utilero - Logger</t>
  </si>
  <si>
    <t xml:space="preserve">Conductor de cámaras</t>
  </si>
  <si>
    <t xml:space="preserve">Chofer - Modista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</si>
</sst>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 &quot;$ &quot;* #,##0.00_ ;_ &quot;$ &quot;* \-#,##0.00_ ;_ &quot;$ &quot;* \-??_ ;_ @_ "/>
    <numFmt numFmtId="166" formatCode="_(\$* #,##0.00_);_(\$* \(#,##0.00\);_(\$* \-??_);_(@_)"/>
    <numFmt numFmtId="167" formatCode="0\ %"/>
    <numFmt numFmtId="168" formatCode="_ * #,##0.00_ ;_ * \-#,##0.00_ ;_ * \-??_ ;_ @_ "/>
    <numFmt numFmtId="169" formatCode="\$#,##0.00"/>
    <numFmt numFmtId="170" formatCode="00"/>
    <numFmt numFmtId="171" formatCode="#,##0.00"/>
    <numFmt numFmtId="172" formatCode="[$$-409]#,##0.00"/>
    <numFmt numFmtId="173" formatCode="#,##0"/>
    <numFmt numFmtId="174" formatCode="&quot;$ &quot;#,##0.00"/>
    <numFmt numFmtId="175" formatCode="0.0"/>
    <numFmt numFmtId="176" formatCode="0"/>
    <numFmt numFmtId="177" formatCode="0.00"/>
    <numFmt numFmtId="178" formatCode="0.00\ %"/>
    <numFmt numFmtId="179" formatCode="MMM\-YY"/>
    <numFmt numFmtId="180" formatCode="#,##0.0"/>
    <numFmt numFmtId="181" formatCode="_(\$* #,##0.0_);_(\$* \(#,##0.0\);_(\$* \-??_);_(@_)"/>
    <numFmt numFmtId="182" formatCode="_(\$* #,##0_);_(\$* \(#,##0\);_(\$* \-??_);_(@_)"/>
  </numFmts>
  <fonts count="3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6"/>
      <color rgb="FFF2F2F2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9"/>
      <color rgb="FFC82613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sz val="10"/>
      <color rgb="FFC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6"/>
      <name val="Arial"/>
      <family val="2"/>
      <charset val="1"/>
    </font>
    <font>
      <sz val="8"/>
      <name val="Arial"/>
      <family val="2"/>
      <charset val="1"/>
    </font>
    <font>
      <i val="true"/>
      <sz val="9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9.5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DBEEF4"/>
      </patternFill>
    </fill>
    <fill>
      <patternFill patternType="solid">
        <fgColor rgb="FFFFFFFF"/>
        <bgColor rgb="FFF2F2F2"/>
      </patternFill>
    </fill>
    <fill>
      <patternFill patternType="solid">
        <fgColor rgb="FFF290B6"/>
        <bgColor rgb="FFFF8080"/>
      </patternFill>
    </fill>
    <fill>
      <patternFill patternType="solid">
        <fgColor rgb="FFCCFFCC"/>
        <bgColor rgb="FFDBEEF4"/>
      </patternFill>
    </fill>
    <fill>
      <patternFill patternType="solid">
        <fgColor rgb="FFE6E0EC"/>
        <bgColor rgb="FFD9D9D9"/>
      </patternFill>
    </fill>
    <fill>
      <patternFill patternType="solid">
        <fgColor rgb="FF77933C"/>
        <bgColor rgb="FF808080"/>
      </patternFill>
    </fill>
    <fill>
      <patternFill patternType="solid">
        <fgColor rgb="FFB3A2C7"/>
        <bgColor rgb="FFC0C0C0"/>
      </patternFill>
    </fill>
    <fill>
      <patternFill patternType="solid">
        <fgColor rgb="FFD9D9D9"/>
        <bgColor rgb="FFE6E0EC"/>
      </patternFill>
    </fill>
    <fill>
      <patternFill patternType="solid">
        <fgColor rgb="FFFF6600"/>
        <bgColor rgb="FFFF9900"/>
      </patternFill>
    </fill>
    <fill>
      <patternFill patternType="solid">
        <fgColor rgb="FF8EB4E3"/>
        <bgColor rgb="FF9999FF"/>
      </patternFill>
    </fill>
    <fill>
      <patternFill patternType="solid">
        <fgColor rgb="FF000000"/>
        <bgColor rgb="FF003300"/>
      </patternFill>
    </fill>
    <fill>
      <patternFill patternType="solid">
        <fgColor rgb="FFFCD5B5"/>
        <bgColor rgb="FFD9D9D9"/>
      </patternFill>
    </fill>
    <fill>
      <patternFill patternType="solid">
        <fgColor rgb="FFDBEEF4"/>
        <bgColor rgb="FFE6E0EC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double">
        <color rgb="FF0000FF"/>
      </left>
      <right/>
      <top style="double">
        <color rgb="FF0000FF"/>
      </top>
      <bottom/>
      <diagonal/>
    </border>
    <border diagonalUp="false" diagonalDown="false">
      <left/>
      <right/>
      <top style="double">
        <color rgb="FF0000FF"/>
      </top>
      <bottom/>
      <diagonal/>
    </border>
    <border diagonalUp="false" diagonalDown="false">
      <left style="double">
        <color rgb="FF0000FF"/>
      </left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/>
      <right/>
      <top style="thin"/>
      <bottom style="thin">
        <color rgb="FF969696"/>
      </bottom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double">
        <color rgb="FF0000FF"/>
      </left>
      <right/>
      <top/>
      <bottom style="double">
        <color rgb="FF0000FF"/>
      </bottom>
      <diagonal/>
    </border>
    <border diagonalUp="false" diagonalDown="false">
      <left/>
      <right/>
      <top/>
      <bottom style="double">
        <color rgb="FF0000FF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>
        <color rgb="FF969696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double">
        <color rgb="FF0000FF"/>
      </right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2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2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1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0" fillId="2" borderId="1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8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8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8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5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9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6" borderId="2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5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5" fillId="6" borderId="2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12" fillId="5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9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9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5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3" borderId="23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5" fillId="3" borderId="2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12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6" borderId="2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7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12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9" fillId="6" borderId="2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9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9" fillId="3" borderId="2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9" fillId="3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12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9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3" borderId="26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2" fontId="12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12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12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12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73" fontId="12" fillId="3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73" fontId="12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18" fillId="7" borderId="1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3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9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8" fontId="5" fillId="3" borderId="29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5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9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6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9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6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2" fillId="2" borderId="1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2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3" borderId="3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6" fontId="0" fillId="3" borderId="31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3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3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6" fontId="0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3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2" fillId="5" borderId="3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12" fillId="2" borderId="3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20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3" borderId="3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0" fillId="3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0" fillId="3" borderId="3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8" borderId="3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0" fillId="3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3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5" fillId="3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5" fillId="3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5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5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5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3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8" fontId="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8" fontId="5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8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6" fontId="5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0" fillId="3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0" fillId="3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2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2" fillId="5" borderId="1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12" fillId="2" borderId="1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12" fillId="3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3" borderId="3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5" fillId="3" borderId="3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5" fillId="3" borderId="3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3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5" fillId="3" borderId="3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9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0" fillId="3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7" fontId="0" fillId="3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5" fillId="3" borderId="3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7" fontId="5" fillId="0" borderId="3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0" borderId="3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5" fillId="3" borderId="37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3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3" borderId="3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9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3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6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6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3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6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0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5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3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8" fontId="5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0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19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0" fillId="0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2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5" borderId="3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12" fillId="2" borderId="3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0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3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3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0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5" fillId="0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0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5" fillId="0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5" fillId="3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3" borderId="35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3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0" fillId="3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0" fillId="3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5" fillId="3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3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5" fillId="3" borderId="36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2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5" fillId="3" borderId="3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3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5" fillId="1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3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0" fillId="3" borderId="3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3" borderId="3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3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25" fillId="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5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3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9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3" borderId="31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5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3" borderId="1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0" fillId="3" borderId="10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5" fillId="3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5" fillId="3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20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3" borderId="2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2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0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6" fontId="0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12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0" fillId="3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3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29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3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11" borderId="3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31" fillId="12" borderId="3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32" fillId="13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1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31" fillId="12" borderId="1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33" fillId="14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1" fontId="33" fillId="2" borderId="1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33" fillId="2" borderId="2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33" fillId="2" borderId="19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1" fontId="33" fillId="2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1" fontId="33" fillId="2" borderId="2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1" fontId="33" fillId="2" borderId="20" xfId="21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neda 2" xfId="20" builtinId="53" customBuiltin="true"/>
    <cellStyle name="Moneda 2 3" xfId="21" builtinId="53" customBuiltin="true"/>
    <cellStyle name="Normal 2" xfId="22" builtinId="53" customBuiltin="true"/>
    <cellStyle name="Normal 2 2" xfId="23" builtinId="53" customBuiltin="true"/>
    <cellStyle name="Normal 3" xfId="24" builtinId="53" customBuiltin="true"/>
    <cellStyle name="Porcentual 2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2F2F2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FFF99"/>
      <rgbColor rgb="FF8EB4E3"/>
      <rgbColor rgb="FFF290B6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82613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RowHeight="12.75" zeroHeight="false" outlineLevelRow="0" outlineLevelCol="0"/>
  <cols>
    <col collapsed="false" customWidth="true" hidden="false" outlineLevel="0" max="1" min="1" style="1" width="0.71"/>
    <col collapsed="false" customWidth="true" hidden="false" outlineLevel="0" max="2" min="2" style="2" width="1.42"/>
    <col collapsed="false" customWidth="true" hidden="false" outlineLevel="0" max="3" min="3" style="3" width="6.01"/>
    <col collapsed="false" customWidth="true" hidden="false" outlineLevel="0" max="4" min="4" style="4" width="67.14"/>
    <col collapsed="false" customWidth="true" hidden="false" outlineLevel="0" max="5" min="5" style="5" width="15.86"/>
    <col collapsed="false" customWidth="true" hidden="false" outlineLevel="0" max="6" min="6" style="4" width="11.86"/>
    <col collapsed="false" customWidth="true" hidden="false" outlineLevel="0" max="7" min="7" style="4" width="17.14"/>
    <col collapsed="false" customWidth="true" hidden="false" outlineLevel="0" max="8" min="8" style="4" width="13.7"/>
    <col collapsed="false" customWidth="true" hidden="true" outlineLevel="0" max="9" min="9" style="6" width="11.86"/>
    <col collapsed="false" customWidth="true" hidden="true" outlineLevel="0" max="10" min="10" style="6" width="12.42"/>
    <col collapsed="false" customWidth="true" hidden="false" outlineLevel="0" max="11" min="11" style="1" width="15.15"/>
    <col collapsed="false" customWidth="true" hidden="false" outlineLevel="0" max="12" min="12" style="1" width="11.42"/>
    <col collapsed="false" customWidth="true" hidden="false" outlineLevel="0" max="13" min="13" style="1" width="18"/>
    <col collapsed="false" customWidth="true" hidden="false" outlineLevel="0" max="14" min="14" style="1" width="13.86"/>
    <col collapsed="false" customWidth="true" hidden="false" outlineLevel="0" max="1025" min="15" style="1" width="11.42"/>
  </cols>
  <sheetData>
    <row r="1" customFormat="false" ht="15" hidden="false" customHeight="true" outlineLevel="0" collapsed="false">
      <c r="A1" s="7"/>
      <c r="B1" s="8"/>
      <c r="C1" s="9"/>
      <c r="D1" s="10"/>
      <c r="E1" s="11"/>
      <c r="F1" s="10"/>
      <c r="G1" s="10"/>
      <c r="H1" s="10"/>
      <c r="I1" s="12"/>
      <c r="J1" s="12"/>
    </row>
    <row r="2" customFormat="false" ht="17.1" hidden="false" customHeight="true" outlineLevel="0" collapsed="false">
      <c r="A2" s="7"/>
      <c r="B2" s="13"/>
      <c r="C2" s="14"/>
      <c r="D2" s="15"/>
      <c r="E2" s="16"/>
      <c r="F2" s="15"/>
      <c r="G2" s="15"/>
      <c r="H2" s="15"/>
      <c r="I2" s="17"/>
      <c r="J2" s="17"/>
    </row>
    <row r="3" customFormat="false" ht="15.95" hidden="false" customHeight="true" outlineLevel="0" collapsed="false">
      <c r="A3" s="7"/>
      <c r="B3" s="18"/>
      <c r="C3" s="19" t="s">
        <v>0</v>
      </c>
      <c r="D3" s="20" t="s">
        <v>1</v>
      </c>
      <c r="E3" s="21" t="s">
        <v>2</v>
      </c>
      <c r="F3" s="22" t="n">
        <v>2.5</v>
      </c>
      <c r="G3" s="23" t="s">
        <v>3</v>
      </c>
      <c r="H3" s="24" t="n">
        <v>66</v>
      </c>
      <c r="I3" s="23" t="s">
        <v>3</v>
      </c>
      <c r="J3" s="24" t="n">
        <v>50</v>
      </c>
      <c r="K3" s="25"/>
    </row>
    <row r="4" customFormat="false" ht="15.95" hidden="false" customHeight="true" outlineLevel="0" collapsed="false">
      <c r="A4" s="7"/>
      <c r="B4" s="18"/>
      <c r="C4" s="19"/>
      <c r="D4" s="20"/>
      <c r="E4" s="26" t="s">
        <v>4</v>
      </c>
      <c r="F4" s="27" t="n">
        <v>3</v>
      </c>
      <c r="G4" s="28" t="s">
        <v>5</v>
      </c>
      <c r="H4" s="29" t="n">
        <v>103</v>
      </c>
      <c r="I4" s="28" t="s">
        <v>5</v>
      </c>
      <c r="J4" s="29" t="n">
        <v>40</v>
      </c>
    </row>
    <row r="5" customFormat="false" ht="15.95" hidden="false" customHeight="true" outlineLevel="0" collapsed="false">
      <c r="A5" s="7"/>
      <c r="B5" s="18"/>
      <c r="C5" s="19"/>
      <c r="D5" s="20"/>
      <c r="E5" s="26" t="s">
        <v>6</v>
      </c>
      <c r="F5" s="27" t="n">
        <v>4</v>
      </c>
      <c r="G5" s="30" t="s">
        <v>7</v>
      </c>
      <c r="H5" s="31" t="n">
        <v>8</v>
      </c>
      <c r="I5" s="30" t="s">
        <v>7</v>
      </c>
      <c r="J5" s="31" t="n">
        <v>10</v>
      </c>
    </row>
    <row r="6" s="41" customFormat="true" ht="20.1" hidden="false" customHeight="true" outlineLevel="0" collapsed="false">
      <c r="A6" s="32"/>
      <c r="B6" s="33"/>
      <c r="C6" s="34"/>
      <c r="D6" s="35" t="s">
        <v>8</v>
      </c>
      <c r="E6" s="36"/>
      <c r="F6" s="36"/>
      <c r="G6" s="37"/>
      <c r="H6" s="38" t="s">
        <v>9</v>
      </c>
      <c r="I6" s="39" t="s">
        <v>10</v>
      </c>
      <c r="J6" s="40" t="s">
        <v>11</v>
      </c>
    </row>
    <row r="7" customFormat="false" ht="9" hidden="false" customHeight="true" outlineLevel="0" collapsed="false">
      <c r="A7" s="7"/>
      <c r="B7" s="18"/>
      <c r="C7" s="42"/>
      <c r="D7" s="2"/>
      <c r="E7" s="43"/>
      <c r="F7" s="44"/>
      <c r="G7" s="44"/>
      <c r="H7" s="45"/>
      <c r="I7" s="46"/>
      <c r="J7" s="46"/>
    </row>
    <row r="8" s="57" customFormat="true" ht="20.1" hidden="false" customHeight="true" outlineLevel="0" collapsed="false">
      <c r="A8" s="47"/>
      <c r="B8" s="48"/>
      <c r="C8" s="49" t="n">
        <v>1</v>
      </c>
      <c r="D8" s="50" t="s">
        <v>12</v>
      </c>
      <c r="E8" s="51"/>
      <c r="F8" s="52"/>
      <c r="G8" s="53"/>
      <c r="H8" s="54" t="n">
        <f aca="false">H80</f>
        <v>6475000</v>
      </c>
      <c r="I8" s="55" t="n">
        <f aca="false">I80</f>
        <v>1344000</v>
      </c>
      <c r="J8" s="56" t="n">
        <f aca="false">SUM(H8:I8)</f>
        <v>7819000</v>
      </c>
      <c r="L8" s="58"/>
    </row>
    <row r="9" customFormat="false" ht="9" hidden="false" customHeight="true" outlineLevel="0" collapsed="false">
      <c r="A9" s="7"/>
      <c r="B9" s="59"/>
      <c r="C9" s="60"/>
      <c r="D9" s="61"/>
      <c r="E9" s="62"/>
      <c r="F9" s="63"/>
      <c r="G9" s="63"/>
      <c r="H9" s="64"/>
      <c r="I9" s="65"/>
      <c r="J9" s="65"/>
    </row>
    <row r="10" s="57" customFormat="true" ht="20.1" hidden="false" customHeight="true" outlineLevel="0" collapsed="false">
      <c r="A10" s="47"/>
      <c r="B10" s="48"/>
      <c r="C10" s="49" t="n">
        <v>2</v>
      </c>
      <c r="D10" s="66" t="s">
        <v>13</v>
      </c>
      <c r="E10" s="67"/>
      <c r="F10" s="68"/>
      <c r="G10" s="68"/>
      <c r="H10" s="69" t="n">
        <f aca="false">H86</f>
        <v>7200000</v>
      </c>
      <c r="I10" s="55" t="n">
        <v>315000</v>
      </c>
      <c r="J10" s="56" t="n">
        <f aca="false">SUM(H10:I10)</f>
        <v>7515000</v>
      </c>
    </row>
    <row r="11" customFormat="false" ht="9" hidden="false" customHeight="true" outlineLevel="0" collapsed="false">
      <c r="A11" s="7"/>
      <c r="B11" s="59"/>
      <c r="C11" s="60"/>
      <c r="D11" s="70"/>
      <c r="E11" s="62"/>
      <c r="F11" s="63"/>
      <c r="G11" s="63"/>
      <c r="H11" s="64"/>
      <c r="I11" s="65"/>
      <c r="J11" s="65"/>
    </row>
    <row r="12" s="57" customFormat="true" ht="20.1" hidden="false" customHeight="true" outlineLevel="0" collapsed="false">
      <c r="A12" s="47"/>
      <c r="B12" s="48"/>
      <c r="C12" s="49" t="n">
        <v>3</v>
      </c>
      <c r="D12" s="71" t="str">
        <f aca="false">D88</f>
        <v>PRODUCCION</v>
      </c>
      <c r="E12" s="72"/>
      <c r="F12" s="73"/>
      <c r="G12" s="73"/>
      <c r="H12" s="69" t="n">
        <f aca="false">H93</f>
        <v>4500000</v>
      </c>
      <c r="I12" s="55" t="n">
        <f aca="false">I93</f>
        <v>945000</v>
      </c>
      <c r="J12" s="56" t="n">
        <f aca="false">SUM(H12:I12)</f>
        <v>5445000</v>
      </c>
    </row>
    <row r="13" customFormat="false" ht="9" hidden="false" customHeight="true" outlineLevel="0" collapsed="false">
      <c r="A13" s="7"/>
      <c r="B13" s="59"/>
      <c r="C13" s="60"/>
      <c r="D13" s="70"/>
      <c r="E13" s="62"/>
      <c r="F13" s="63"/>
      <c r="G13" s="63"/>
      <c r="H13" s="64"/>
      <c r="I13" s="65"/>
      <c r="J13" s="65"/>
    </row>
    <row r="14" s="57" customFormat="true" ht="17.1" hidden="false" customHeight="true" outlineLevel="0" collapsed="false">
      <c r="A14" s="47"/>
      <c r="B14" s="48"/>
      <c r="C14" s="49" t="n">
        <v>4</v>
      </c>
      <c r="D14" s="71" t="str">
        <f aca="false">D95</f>
        <v>EQUIPO TECNICO</v>
      </c>
      <c r="E14" s="72"/>
      <c r="F14" s="73"/>
      <c r="G14" s="73"/>
      <c r="H14" s="69" t="n">
        <f aca="false">+H551</f>
        <v>69088571.5033146</v>
      </c>
      <c r="I14" s="55" t="n">
        <f aca="false">I535</f>
        <v>0</v>
      </c>
      <c r="J14" s="56" t="n">
        <f aca="false">SUM(H14:I14)</f>
        <v>69088571.5033146</v>
      </c>
    </row>
    <row r="15" customFormat="false" ht="9" hidden="false" customHeight="true" outlineLevel="0" collapsed="false">
      <c r="A15" s="7"/>
      <c r="B15" s="59"/>
      <c r="C15" s="60"/>
      <c r="D15" s="70"/>
      <c r="E15" s="62"/>
      <c r="F15" s="63"/>
      <c r="G15" s="63"/>
      <c r="H15" s="64"/>
      <c r="I15" s="65"/>
      <c r="J15" s="65"/>
    </row>
    <row r="16" s="57" customFormat="true" ht="17.1" hidden="false" customHeight="true" outlineLevel="0" collapsed="false">
      <c r="A16" s="47"/>
      <c r="B16" s="48"/>
      <c r="C16" s="49" t="n">
        <v>5</v>
      </c>
      <c r="D16" s="71" t="s">
        <v>14</v>
      </c>
      <c r="E16" s="72"/>
      <c r="F16" s="73"/>
      <c r="G16" s="73"/>
      <c r="H16" s="69" t="n">
        <f aca="false">H587</f>
        <v>27282257.9812</v>
      </c>
      <c r="I16" s="55" t="n">
        <f aca="false">I587</f>
        <v>0</v>
      </c>
      <c r="J16" s="56" t="n">
        <f aca="false">SUM(H16:I16)</f>
        <v>27282257.9812</v>
      </c>
    </row>
    <row r="17" customFormat="false" ht="9" hidden="false" customHeight="true" outlineLevel="0" collapsed="false">
      <c r="A17" s="7"/>
      <c r="B17" s="59"/>
      <c r="C17" s="60"/>
      <c r="D17" s="70"/>
      <c r="E17" s="62"/>
      <c r="F17" s="63"/>
      <c r="G17" s="63"/>
      <c r="H17" s="64"/>
      <c r="I17" s="65"/>
      <c r="J17" s="65"/>
    </row>
    <row r="18" s="57" customFormat="true" ht="17.1" hidden="false" customHeight="true" outlineLevel="0" collapsed="false">
      <c r="A18" s="47"/>
      <c r="B18" s="48"/>
      <c r="C18" s="49" t="n">
        <v>6</v>
      </c>
      <c r="D18" s="71" t="s">
        <v>15</v>
      </c>
      <c r="E18" s="72"/>
      <c r="F18" s="73"/>
      <c r="G18" s="73"/>
      <c r="H18" s="69" t="n">
        <f aca="false">H594</f>
        <v>25490562.1676726</v>
      </c>
      <c r="I18" s="55" t="n">
        <f aca="false">I594</f>
        <v>0</v>
      </c>
      <c r="J18" s="56" t="n">
        <f aca="false">SUM(H18:I18)</f>
        <v>25490562.1676726</v>
      </c>
    </row>
    <row r="19" customFormat="false" ht="9" hidden="false" customHeight="true" outlineLevel="0" collapsed="false">
      <c r="A19" s="7"/>
      <c r="B19" s="59"/>
      <c r="C19" s="60"/>
      <c r="D19" s="70"/>
      <c r="E19" s="62"/>
      <c r="F19" s="63"/>
      <c r="G19" s="63"/>
      <c r="H19" s="64"/>
      <c r="I19" s="65"/>
      <c r="J19" s="65"/>
    </row>
    <row r="20" s="57" customFormat="true" ht="17.1" hidden="false" customHeight="true" outlineLevel="0" collapsed="false">
      <c r="A20" s="47"/>
      <c r="B20" s="48"/>
      <c r="C20" s="49" t="n">
        <v>7</v>
      </c>
      <c r="D20" s="71" t="str">
        <f aca="false">D596</f>
        <v>VESTUARIO</v>
      </c>
      <c r="E20" s="72"/>
      <c r="F20" s="73"/>
      <c r="G20" s="73"/>
      <c r="H20" s="69" t="n">
        <f aca="false">H610</f>
        <v>4710000</v>
      </c>
      <c r="I20" s="55" t="n">
        <f aca="false">I610</f>
        <v>989100</v>
      </c>
      <c r="J20" s="56" t="n">
        <f aca="false">SUM(H20:I20)</f>
        <v>5699100</v>
      </c>
    </row>
    <row r="21" customFormat="false" ht="9" hidden="false" customHeight="true" outlineLevel="0" collapsed="false">
      <c r="A21" s="7"/>
      <c r="B21" s="59"/>
      <c r="C21" s="60"/>
      <c r="D21" s="70"/>
      <c r="E21" s="62"/>
      <c r="F21" s="63"/>
      <c r="G21" s="63"/>
      <c r="H21" s="64"/>
      <c r="I21" s="65"/>
      <c r="J21" s="65"/>
    </row>
    <row r="22" s="57" customFormat="true" ht="17.1" hidden="false" customHeight="true" outlineLevel="0" collapsed="false">
      <c r="A22" s="47"/>
      <c r="B22" s="48"/>
      <c r="C22" s="49" t="n">
        <v>8</v>
      </c>
      <c r="D22" s="71" t="str">
        <f aca="false">D612</f>
        <v>MAQUILLAJE</v>
      </c>
      <c r="E22" s="72"/>
      <c r="F22" s="73"/>
      <c r="G22" s="73"/>
      <c r="H22" s="69" t="n">
        <f aca="false">H619</f>
        <v>660000</v>
      </c>
      <c r="I22" s="55" t="n">
        <f aca="false">I619</f>
        <v>117600</v>
      </c>
      <c r="J22" s="56" t="n">
        <f aca="false">SUM(H22:I22)</f>
        <v>777600</v>
      </c>
    </row>
    <row r="23" customFormat="false" ht="9" hidden="false" customHeight="true" outlineLevel="0" collapsed="false">
      <c r="A23" s="7"/>
      <c r="B23" s="59"/>
      <c r="C23" s="60"/>
      <c r="D23" s="70"/>
      <c r="E23" s="62"/>
      <c r="F23" s="63"/>
      <c r="G23" s="63"/>
      <c r="H23" s="64"/>
      <c r="I23" s="65"/>
      <c r="J23" s="65"/>
    </row>
    <row r="24" s="57" customFormat="true" ht="17.1" hidden="false" customHeight="true" outlineLevel="0" collapsed="false">
      <c r="A24" s="47"/>
      <c r="B24" s="48"/>
      <c r="C24" s="49" t="n">
        <v>9</v>
      </c>
      <c r="D24" s="71" t="str">
        <f aca="false">D621</f>
        <v>UTILERIA/AMBIENTACIÓN</v>
      </c>
      <c r="E24" s="72"/>
      <c r="F24" s="73"/>
      <c r="G24" s="73"/>
      <c r="H24" s="69" t="n">
        <f aca="false">H626</f>
        <v>5960000</v>
      </c>
      <c r="I24" s="55" t="n">
        <f aca="false">I626</f>
        <v>1108800</v>
      </c>
      <c r="J24" s="56" t="n">
        <f aca="false">SUM(H24:I24)</f>
        <v>7068800</v>
      </c>
    </row>
    <row r="25" customFormat="false" ht="9" hidden="false" customHeight="true" outlineLevel="0" collapsed="false">
      <c r="A25" s="7"/>
      <c r="B25" s="59"/>
      <c r="C25" s="60"/>
      <c r="D25" s="70"/>
      <c r="E25" s="62"/>
      <c r="F25" s="63"/>
      <c r="G25" s="63"/>
      <c r="H25" s="64"/>
      <c r="I25" s="65"/>
      <c r="J25" s="65"/>
    </row>
    <row r="26" s="57" customFormat="true" ht="17.1" hidden="false" customHeight="true" outlineLevel="0" collapsed="false">
      <c r="A26" s="47"/>
      <c r="B26" s="48"/>
      <c r="C26" s="49" t="n">
        <v>10</v>
      </c>
      <c r="D26" s="71" t="str">
        <f aca="false">D628</f>
        <v>ESCENOGRAFIA</v>
      </c>
      <c r="E26" s="72"/>
      <c r="F26" s="73"/>
      <c r="G26" s="73"/>
      <c r="H26" s="69" t="n">
        <f aca="false">H632</f>
        <v>0</v>
      </c>
      <c r="I26" s="55" t="n">
        <f aca="false">I632</f>
        <v>0</v>
      </c>
      <c r="J26" s="56" t="n">
        <f aca="false">SUM(H26:I26)</f>
        <v>0</v>
      </c>
    </row>
    <row r="27" customFormat="false" ht="9" hidden="false" customHeight="true" outlineLevel="0" collapsed="false">
      <c r="A27" s="7"/>
      <c r="B27" s="59"/>
      <c r="C27" s="60"/>
      <c r="D27" s="70"/>
      <c r="E27" s="62"/>
      <c r="F27" s="63"/>
      <c r="G27" s="63"/>
      <c r="H27" s="64"/>
      <c r="I27" s="65"/>
      <c r="J27" s="65"/>
    </row>
    <row r="28" s="57" customFormat="true" ht="17.1" hidden="false" customHeight="true" outlineLevel="0" collapsed="false">
      <c r="A28" s="47"/>
      <c r="B28" s="48"/>
      <c r="C28" s="49" t="n">
        <v>11</v>
      </c>
      <c r="D28" s="71" t="str">
        <f aca="false">D634</f>
        <v>LOCACIONES</v>
      </c>
      <c r="E28" s="72"/>
      <c r="F28" s="73"/>
      <c r="G28" s="73"/>
      <c r="H28" s="69" t="n">
        <f aca="false">H655</f>
        <v>10820347.5</v>
      </c>
      <c r="I28" s="55" t="n">
        <f aca="false">I655</f>
        <v>1811250</v>
      </c>
      <c r="J28" s="56" t="n">
        <f aca="false">SUM(H28:I28)</f>
        <v>12631597.5</v>
      </c>
    </row>
    <row r="29" customFormat="false" ht="9" hidden="false" customHeight="true" outlineLevel="0" collapsed="false">
      <c r="A29" s="7"/>
      <c r="B29" s="59"/>
      <c r="C29" s="60"/>
      <c r="D29" s="70"/>
      <c r="E29" s="62"/>
      <c r="F29" s="63"/>
      <c r="G29" s="63"/>
      <c r="H29" s="64"/>
      <c r="I29" s="65"/>
      <c r="J29" s="65"/>
    </row>
    <row r="30" s="57" customFormat="true" ht="17.1" hidden="false" customHeight="true" outlineLevel="0" collapsed="false">
      <c r="A30" s="47"/>
      <c r="B30" s="48"/>
      <c r="C30" s="49" t="n">
        <v>12</v>
      </c>
      <c r="D30" s="71" t="str">
        <f aca="false">D657</f>
        <v>MATERIAL DE ARCHIVO</v>
      </c>
      <c r="E30" s="72"/>
      <c r="F30" s="73"/>
      <c r="G30" s="73"/>
      <c r="H30" s="69" t="n">
        <f aca="false">H660</f>
        <v>100000</v>
      </c>
      <c r="I30" s="55" t="n">
        <f aca="false">I660</f>
        <v>21000</v>
      </c>
      <c r="J30" s="56" t="n">
        <f aca="false">SUM(H30:I30)</f>
        <v>121000</v>
      </c>
    </row>
    <row r="31" customFormat="false" ht="9" hidden="false" customHeight="true" outlineLevel="0" collapsed="false">
      <c r="A31" s="7"/>
      <c r="B31" s="59"/>
      <c r="C31" s="60"/>
      <c r="D31" s="70"/>
      <c r="E31" s="62"/>
      <c r="F31" s="63"/>
      <c r="G31" s="63"/>
      <c r="H31" s="64"/>
      <c r="I31" s="65"/>
      <c r="J31" s="65"/>
    </row>
    <row r="32" s="57" customFormat="true" ht="17.1" hidden="false" customHeight="true" outlineLevel="0" collapsed="false">
      <c r="A32" s="47"/>
      <c r="B32" s="48"/>
      <c r="C32" s="49" t="n">
        <v>13</v>
      </c>
      <c r="D32" s="71" t="str">
        <f aca="false">D662</f>
        <v>MUSICA</v>
      </c>
      <c r="E32" s="72"/>
      <c r="F32" s="73"/>
      <c r="G32" s="73"/>
      <c r="H32" s="69" t="n">
        <f aca="false">H668</f>
        <v>3800000</v>
      </c>
      <c r="I32" s="55" t="n">
        <f aca="false">I668</f>
        <v>0</v>
      </c>
      <c r="J32" s="56" t="n">
        <f aca="false">SUM(H32:I32)</f>
        <v>3800000</v>
      </c>
    </row>
    <row r="33" customFormat="false" ht="9" hidden="false" customHeight="true" outlineLevel="0" collapsed="false">
      <c r="A33" s="7"/>
      <c r="B33" s="59"/>
      <c r="C33" s="60"/>
      <c r="D33" s="70"/>
      <c r="E33" s="62"/>
      <c r="F33" s="63"/>
      <c r="G33" s="63"/>
      <c r="H33" s="64"/>
      <c r="I33" s="65"/>
      <c r="J33" s="65"/>
    </row>
    <row r="34" s="57" customFormat="true" ht="17.1" hidden="false" customHeight="true" outlineLevel="0" collapsed="false">
      <c r="A34" s="47"/>
      <c r="B34" s="48"/>
      <c r="C34" s="49" t="n">
        <v>14</v>
      </c>
      <c r="D34" s="71" t="str">
        <f aca="false">D670</f>
        <v>LAB &amp; MEDIA MANAGEMENT</v>
      </c>
      <c r="E34" s="72"/>
      <c r="F34" s="73"/>
      <c r="G34" s="73"/>
      <c r="H34" s="69" t="n">
        <f aca="false">H676</f>
        <v>10239744</v>
      </c>
      <c r="I34" s="55" t="n">
        <f aca="false">I676</f>
        <v>2150346.24</v>
      </c>
      <c r="J34" s="56" t="n">
        <f aca="false">SUM(H34:I34)</f>
        <v>12390090.24</v>
      </c>
    </row>
    <row r="35" customFormat="false" ht="9" hidden="false" customHeight="true" outlineLevel="0" collapsed="false">
      <c r="A35" s="7"/>
      <c r="B35" s="59"/>
      <c r="C35" s="60"/>
      <c r="D35" s="70"/>
      <c r="E35" s="62"/>
      <c r="F35" s="63"/>
      <c r="G35" s="63"/>
      <c r="H35" s="64"/>
      <c r="I35" s="65"/>
      <c r="J35" s="65"/>
    </row>
    <row r="36" s="57" customFormat="true" ht="17.1" hidden="false" customHeight="true" outlineLevel="0" collapsed="false">
      <c r="A36" s="47"/>
      <c r="B36" s="48"/>
      <c r="C36" s="49" t="n">
        <v>15</v>
      </c>
      <c r="D36" s="71" t="str">
        <f aca="false">D678</f>
        <v>PROCESO DE POSTPRODUCCIÓN</v>
      </c>
      <c r="E36" s="72"/>
      <c r="F36" s="73"/>
      <c r="G36" s="73"/>
      <c r="H36" s="69" t="n">
        <f aca="false">H687</f>
        <v>3843200</v>
      </c>
      <c r="I36" s="55" t="n">
        <f aca="false">I687</f>
        <v>807072</v>
      </c>
      <c r="J36" s="56" t="n">
        <f aca="false">SUM(H36:I36)</f>
        <v>4650272</v>
      </c>
    </row>
    <row r="37" customFormat="false" ht="9" hidden="false" customHeight="true" outlineLevel="0" collapsed="false">
      <c r="A37" s="7"/>
      <c r="B37" s="59"/>
      <c r="C37" s="60"/>
      <c r="D37" s="70"/>
      <c r="E37" s="62"/>
      <c r="F37" s="63"/>
      <c r="G37" s="63"/>
      <c r="H37" s="64"/>
      <c r="I37" s="65"/>
      <c r="J37" s="65"/>
    </row>
    <row r="38" s="57" customFormat="true" ht="17.1" hidden="false" customHeight="true" outlineLevel="0" collapsed="false">
      <c r="A38" s="47"/>
      <c r="B38" s="48"/>
      <c r="C38" s="49" t="n">
        <v>16</v>
      </c>
      <c r="D38" s="71" t="str">
        <f aca="false">D689</f>
        <v>PROCESOS DE SONIDO</v>
      </c>
      <c r="E38" s="72"/>
      <c r="F38" s="73"/>
      <c r="G38" s="73"/>
      <c r="H38" s="69" t="n">
        <f aca="false">H693</f>
        <v>824000</v>
      </c>
      <c r="I38" s="55" t="n">
        <f aca="false">I693</f>
        <v>173040</v>
      </c>
      <c r="J38" s="56" t="n">
        <f aca="false">SUM(H38:I38)</f>
        <v>997040</v>
      </c>
    </row>
    <row r="39" customFormat="false" ht="9" hidden="false" customHeight="true" outlineLevel="0" collapsed="false">
      <c r="A39" s="7"/>
      <c r="B39" s="59"/>
      <c r="C39" s="60"/>
      <c r="D39" s="70"/>
      <c r="E39" s="62"/>
      <c r="F39" s="63"/>
      <c r="G39" s="63"/>
      <c r="H39" s="64"/>
      <c r="I39" s="65"/>
      <c r="J39" s="65"/>
    </row>
    <row r="40" s="57" customFormat="true" ht="17.1" hidden="false" customHeight="true" outlineLevel="0" collapsed="false">
      <c r="A40" s="47"/>
      <c r="B40" s="48"/>
      <c r="C40" s="49" t="n">
        <v>17</v>
      </c>
      <c r="D40" s="71" t="str">
        <f aca="false">D695</f>
        <v>EQUIPOS DE CAMARAS/LUCES/SONIDO</v>
      </c>
      <c r="E40" s="72"/>
      <c r="F40" s="73"/>
      <c r="G40" s="73"/>
      <c r="H40" s="69" t="n">
        <f aca="false">H728</f>
        <v>29227750</v>
      </c>
      <c r="I40" s="55" t="n">
        <f aca="false">I728</f>
        <v>6137827.5</v>
      </c>
      <c r="J40" s="56" t="n">
        <f aca="false">SUM(H40:I40)</f>
        <v>35365577.5</v>
      </c>
    </row>
    <row r="41" customFormat="false" ht="9" hidden="false" customHeight="true" outlineLevel="0" collapsed="false">
      <c r="A41" s="7"/>
      <c r="B41" s="59"/>
      <c r="C41" s="60"/>
      <c r="D41" s="70"/>
      <c r="E41" s="62"/>
      <c r="F41" s="63"/>
      <c r="G41" s="63"/>
      <c r="H41" s="64"/>
      <c r="I41" s="65"/>
      <c r="J41" s="65"/>
    </row>
    <row r="42" s="57" customFormat="true" ht="17.1" hidden="false" customHeight="true" outlineLevel="0" collapsed="false">
      <c r="A42" s="47"/>
      <c r="B42" s="48"/>
      <c r="C42" s="49" t="n">
        <v>18</v>
      </c>
      <c r="D42" s="71" t="str">
        <f aca="false">D730</f>
        <v>EFECTOS ESPECIALES</v>
      </c>
      <c r="E42" s="72"/>
      <c r="F42" s="73"/>
      <c r="G42" s="73"/>
      <c r="H42" s="69" t="n">
        <f aca="false">H734</f>
        <v>1545000</v>
      </c>
      <c r="I42" s="55" t="n">
        <f aca="false">I734</f>
        <v>324450</v>
      </c>
      <c r="J42" s="56" t="n">
        <f aca="false">SUM(H42:I42)</f>
        <v>1869450</v>
      </c>
    </row>
    <row r="43" customFormat="false" ht="9" hidden="false" customHeight="true" outlineLevel="0" collapsed="false">
      <c r="A43" s="7"/>
      <c r="B43" s="59"/>
      <c r="C43" s="60"/>
      <c r="D43" s="70"/>
      <c r="E43" s="62"/>
      <c r="F43" s="63"/>
      <c r="G43" s="63"/>
      <c r="H43" s="64"/>
      <c r="I43" s="65"/>
      <c r="J43" s="65"/>
    </row>
    <row r="44" s="57" customFormat="true" ht="17.1" hidden="false" customHeight="true" outlineLevel="0" collapsed="false">
      <c r="A44" s="47"/>
      <c r="B44" s="48"/>
      <c r="C44" s="49" t="n">
        <v>19</v>
      </c>
      <c r="D44" s="71" t="str">
        <f aca="false">D736</f>
        <v>MOVILIDAD</v>
      </c>
      <c r="E44" s="72"/>
      <c r="F44" s="73"/>
      <c r="G44" s="73"/>
      <c r="H44" s="69" t="n">
        <f aca="false">H763</f>
        <v>13915000</v>
      </c>
      <c r="I44" s="55" t="n">
        <f aca="false">I763</f>
        <v>2721600</v>
      </c>
      <c r="J44" s="56" t="n">
        <f aca="false">SUM(H44:I44)</f>
        <v>16636600</v>
      </c>
    </row>
    <row r="45" customFormat="false" ht="9" hidden="false" customHeight="true" outlineLevel="0" collapsed="false">
      <c r="A45" s="7"/>
      <c r="B45" s="59"/>
      <c r="C45" s="60"/>
      <c r="D45" s="70"/>
      <c r="E45" s="62"/>
      <c r="F45" s="63"/>
      <c r="G45" s="63"/>
      <c r="H45" s="64"/>
      <c r="I45" s="65"/>
      <c r="J45" s="65"/>
    </row>
    <row r="46" s="57" customFormat="true" ht="17.1" hidden="false" customHeight="true" outlineLevel="0" collapsed="false">
      <c r="A46" s="47"/>
      <c r="B46" s="48"/>
      <c r="C46" s="49" t="n">
        <v>20</v>
      </c>
      <c r="D46" s="71" t="str">
        <f aca="false">D765</f>
        <v>FUERZA MOTRIZ</v>
      </c>
      <c r="E46" s="72"/>
      <c r="F46" s="73"/>
      <c r="G46" s="73"/>
      <c r="H46" s="69" t="n">
        <f aca="false">H772</f>
        <v>2541900</v>
      </c>
      <c r="I46" s="55" t="n">
        <f aca="false">I772</f>
        <v>533799</v>
      </c>
      <c r="J46" s="56" t="n">
        <f aca="false">SUM(H46:I46)</f>
        <v>3075699</v>
      </c>
    </row>
    <row r="47" customFormat="false" ht="9" hidden="false" customHeight="true" outlineLevel="0" collapsed="false">
      <c r="A47" s="7"/>
      <c r="B47" s="59"/>
      <c r="C47" s="60"/>
      <c r="D47" s="70"/>
      <c r="E47" s="62"/>
      <c r="F47" s="63"/>
      <c r="G47" s="63"/>
      <c r="H47" s="64"/>
      <c r="I47" s="65"/>
      <c r="J47" s="65"/>
    </row>
    <row r="48" s="57" customFormat="true" ht="17.1" hidden="false" customHeight="true" outlineLevel="0" collapsed="false">
      <c r="A48" s="47"/>
      <c r="B48" s="48"/>
      <c r="C48" s="49" t="n">
        <v>21</v>
      </c>
      <c r="D48" s="71" t="str">
        <f aca="false">D774</f>
        <v>COMIDAS</v>
      </c>
      <c r="E48" s="72"/>
      <c r="F48" s="73"/>
      <c r="G48" s="73"/>
      <c r="H48" s="69" t="n">
        <f aca="false">H781</f>
        <v>6900300</v>
      </c>
      <c r="I48" s="55" t="n">
        <f aca="false">I781</f>
        <v>1434510</v>
      </c>
      <c r="J48" s="56" t="n">
        <f aca="false">SUM(H48:I48)</f>
        <v>8334810</v>
      </c>
    </row>
    <row r="49" customFormat="false" ht="9" hidden="false" customHeight="true" outlineLevel="0" collapsed="false">
      <c r="A49" s="7"/>
      <c r="B49" s="59"/>
      <c r="C49" s="60"/>
      <c r="D49" s="70"/>
      <c r="E49" s="62"/>
      <c r="F49" s="63"/>
      <c r="G49" s="63"/>
      <c r="H49" s="64"/>
      <c r="I49" s="65"/>
      <c r="J49" s="65"/>
    </row>
    <row r="50" s="57" customFormat="true" ht="17.1" hidden="false" customHeight="true" outlineLevel="0" collapsed="false">
      <c r="A50" s="47"/>
      <c r="B50" s="48"/>
      <c r="C50" s="49" t="n">
        <v>22</v>
      </c>
      <c r="D50" s="71" t="str">
        <f aca="false">D783</f>
        <v>ADMINISTRACION</v>
      </c>
      <c r="E50" s="72"/>
      <c r="F50" s="73"/>
      <c r="G50" s="73"/>
      <c r="H50" s="69" t="n">
        <f aca="false">H797</f>
        <v>2628000</v>
      </c>
      <c r="I50" s="55" t="n">
        <f aca="false">I797</f>
        <v>413490</v>
      </c>
      <c r="J50" s="56" t="n">
        <f aca="false">SUM(H50:I50)</f>
        <v>3041490</v>
      </c>
    </row>
    <row r="51" customFormat="false" ht="9" hidden="false" customHeight="true" outlineLevel="0" collapsed="false">
      <c r="A51" s="7"/>
      <c r="B51" s="59"/>
      <c r="C51" s="60"/>
      <c r="D51" s="70"/>
      <c r="E51" s="62"/>
      <c r="F51" s="63"/>
      <c r="G51" s="63"/>
      <c r="H51" s="64"/>
      <c r="I51" s="65"/>
      <c r="J51" s="65"/>
    </row>
    <row r="52" s="57" customFormat="true" ht="17.1" hidden="false" customHeight="true" outlineLevel="0" collapsed="false">
      <c r="A52" s="47"/>
      <c r="B52" s="48"/>
      <c r="C52" s="49" t="n">
        <v>23</v>
      </c>
      <c r="D52" s="71" t="str">
        <f aca="false">D799</f>
        <v>SEGUROS</v>
      </c>
      <c r="E52" s="72"/>
      <c r="F52" s="73"/>
      <c r="G52" s="73"/>
      <c r="H52" s="69" t="n">
        <f aca="false">H803</f>
        <v>634055</v>
      </c>
      <c r="I52" s="55" t="n">
        <f aca="false">I803</f>
        <v>133151.55</v>
      </c>
      <c r="J52" s="56" t="n">
        <f aca="false">SUM(H52:I52)</f>
        <v>767206.55</v>
      </c>
    </row>
    <row r="53" s="57" customFormat="true" ht="6.75" hidden="false" customHeight="true" outlineLevel="0" collapsed="false">
      <c r="A53" s="47"/>
      <c r="B53" s="48"/>
      <c r="C53" s="74"/>
      <c r="D53" s="75"/>
      <c r="E53" s="76"/>
      <c r="F53" s="77"/>
      <c r="G53" s="77"/>
      <c r="H53" s="78"/>
      <c r="I53" s="79"/>
      <c r="J53" s="79"/>
    </row>
    <row r="54" s="57" customFormat="true" ht="17.1" hidden="false" customHeight="true" outlineLevel="0" collapsed="false">
      <c r="A54" s="47"/>
      <c r="B54" s="48"/>
      <c r="C54" s="49" t="n">
        <v>24</v>
      </c>
      <c r="D54" s="71" t="s">
        <v>16</v>
      </c>
      <c r="E54" s="72"/>
      <c r="F54" s="73"/>
      <c r="G54" s="73"/>
      <c r="H54" s="69" t="n">
        <f aca="false">+H807</f>
        <v>370000</v>
      </c>
      <c r="I54" s="55" t="n">
        <f aca="false">+I807</f>
        <v>77700</v>
      </c>
      <c r="J54" s="56" t="n">
        <f aca="false">SUM(H54:I54)</f>
        <v>447700</v>
      </c>
    </row>
    <row r="55" customFormat="false" ht="6.75" hidden="false" customHeight="true" outlineLevel="0" collapsed="false">
      <c r="A55" s="7"/>
      <c r="B55" s="59"/>
      <c r="C55" s="60"/>
      <c r="D55" s="70"/>
      <c r="E55" s="62"/>
      <c r="F55" s="63"/>
      <c r="G55" s="63"/>
      <c r="H55" s="64"/>
      <c r="I55" s="65"/>
      <c r="J55" s="65"/>
    </row>
    <row r="56" s="57" customFormat="true" ht="17.1" hidden="false" customHeight="true" outlineLevel="0" collapsed="false">
      <c r="A56" s="47"/>
      <c r="B56" s="48"/>
      <c r="C56" s="49" t="n">
        <v>25</v>
      </c>
      <c r="D56" s="71" t="str">
        <f aca="false">D809</f>
        <v>SEGURIDAD</v>
      </c>
      <c r="E56" s="72"/>
      <c r="F56" s="73"/>
      <c r="G56" s="73"/>
      <c r="H56" s="69" t="n">
        <f aca="false">H811</f>
        <v>135000</v>
      </c>
      <c r="I56" s="55" t="n">
        <f aca="false">I811</f>
        <v>28350</v>
      </c>
      <c r="J56" s="56" t="n">
        <f aca="false">SUM(H56:I56)</f>
        <v>163350</v>
      </c>
    </row>
    <row r="57" customFormat="false" ht="9" hidden="false" customHeight="true" outlineLevel="0" collapsed="false">
      <c r="A57" s="7"/>
      <c r="B57" s="59"/>
      <c r="C57" s="80"/>
      <c r="D57" s="81"/>
      <c r="E57" s="82"/>
      <c r="F57" s="44"/>
      <c r="G57" s="44"/>
      <c r="H57" s="83"/>
      <c r="I57" s="84"/>
      <c r="J57" s="84"/>
    </row>
    <row r="58" s="57" customFormat="true" ht="17.1" hidden="false" customHeight="true" outlineLevel="0" collapsed="false">
      <c r="A58" s="47"/>
      <c r="B58" s="48"/>
      <c r="C58" s="49" t="n">
        <v>26</v>
      </c>
      <c r="D58" s="71" t="s">
        <v>17</v>
      </c>
      <c r="E58" s="72"/>
      <c r="F58" s="73"/>
      <c r="G58" s="73"/>
      <c r="H58" s="69" t="n">
        <f aca="false">+H817</f>
        <v>15154252.3486504</v>
      </c>
      <c r="I58" s="55" t="n">
        <f aca="false">+I817</f>
        <v>0</v>
      </c>
      <c r="J58" s="56" t="n">
        <f aca="false">SUM(H58:I58)</f>
        <v>15154252.3486504</v>
      </c>
    </row>
    <row r="59" customFormat="false" ht="9" hidden="false" customHeight="true" outlineLevel="0" collapsed="false">
      <c r="A59" s="7"/>
      <c r="B59" s="59"/>
      <c r="C59" s="80"/>
      <c r="D59" s="81"/>
      <c r="E59" s="82"/>
      <c r="F59" s="44"/>
      <c r="G59" s="44"/>
      <c r="H59" s="83"/>
      <c r="I59" s="84"/>
      <c r="J59" s="84"/>
    </row>
    <row r="60" s="57" customFormat="true" ht="17.1" hidden="false" customHeight="true" outlineLevel="0" collapsed="false">
      <c r="A60" s="47"/>
      <c r="B60" s="48"/>
      <c r="C60" s="49" t="n">
        <v>27</v>
      </c>
      <c r="D60" s="71" t="s">
        <v>18</v>
      </c>
      <c r="E60" s="72"/>
      <c r="F60" s="73"/>
      <c r="G60" s="73"/>
      <c r="H60" s="69" t="n">
        <f aca="false">H821</f>
        <v>7166720.64456562</v>
      </c>
      <c r="I60" s="55" t="n">
        <f aca="false">I821</f>
        <v>0</v>
      </c>
      <c r="J60" s="56" t="n">
        <f aca="false">SUM(H60:I60)</f>
        <v>7166720.64456562</v>
      </c>
    </row>
    <row r="61" customFormat="false" ht="9" hidden="false" customHeight="true" outlineLevel="0" collapsed="false">
      <c r="A61" s="7"/>
      <c r="B61" s="59"/>
      <c r="C61" s="80"/>
      <c r="D61" s="81"/>
      <c r="E61" s="82"/>
      <c r="F61" s="44"/>
      <c r="G61" s="44"/>
      <c r="H61" s="83"/>
      <c r="I61" s="84"/>
      <c r="J61" s="84"/>
    </row>
    <row r="62" s="94" customFormat="true" ht="20.1" hidden="false" customHeight="true" outlineLevel="0" collapsed="false">
      <c r="A62" s="85"/>
      <c r="B62" s="86"/>
      <c r="C62" s="87" t="s">
        <v>19</v>
      </c>
      <c r="D62" s="88"/>
      <c r="E62" s="89"/>
      <c r="F62" s="90" t="s">
        <v>20</v>
      </c>
      <c r="G62" s="90"/>
      <c r="H62" s="91" t="n">
        <f aca="false">SUM(H60+H58+H56+H54+H52+H50+H48+H46+H44+H42+H40+H38+H36+H34+H32+H30+H28+H26+H24+H22+H20+H18+H16+H14+H12+H10+H8)</f>
        <v>261211661.145403</v>
      </c>
      <c r="I62" s="92" t="n">
        <f aca="false">SUM(I60+I58+I56+I54+I52+I50+I48+I46+I44+I42+I40+I38+I36+I34+I32+I30+I28+I26+I24+I22+I20+I18+I16+I14+I12+I10+I8)</f>
        <v>21587086.29</v>
      </c>
      <c r="J62" s="93" t="n">
        <f aca="false">SUM(H62:I62)</f>
        <v>282798747.435403</v>
      </c>
    </row>
    <row r="63" s="94" customFormat="true" ht="20.1" hidden="false" customHeight="true" outlineLevel="0" collapsed="false">
      <c r="A63" s="85"/>
      <c r="B63" s="86"/>
      <c r="C63" s="87"/>
      <c r="D63" s="88"/>
      <c r="E63" s="89"/>
      <c r="F63" s="95"/>
      <c r="G63" s="96" t="s">
        <v>10</v>
      </c>
      <c r="H63" s="97" t="n">
        <f aca="false">+H62*0.21</f>
        <v>54854448.8405347</v>
      </c>
      <c r="I63" s="98"/>
      <c r="J63" s="98"/>
    </row>
    <row r="64" s="94" customFormat="true" ht="20.1" hidden="false" customHeight="true" outlineLevel="0" collapsed="false">
      <c r="A64" s="85"/>
      <c r="B64" s="86"/>
      <c r="C64" s="87"/>
      <c r="D64" s="88"/>
      <c r="E64" s="89"/>
      <c r="F64" s="99" t="s">
        <v>21</v>
      </c>
      <c r="G64" s="99"/>
      <c r="H64" s="100" t="n">
        <f aca="false">+H63+H62</f>
        <v>316066109.985938</v>
      </c>
      <c r="I64" s="98"/>
      <c r="J64" s="98"/>
    </row>
    <row r="65" s="94" customFormat="true" ht="20.1" hidden="false" customHeight="true" outlineLevel="0" collapsed="false">
      <c r="A65" s="85"/>
      <c r="B65" s="86"/>
      <c r="C65" s="87"/>
      <c r="D65" s="88"/>
      <c r="E65" s="89"/>
      <c r="F65" s="101"/>
      <c r="G65" s="101"/>
      <c r="H65" s="98"/>
      <c r="I65" s="98"/>
      <c r="J65" s="98"/>
    </row>
    <row r="66" s="2" customFormat="true" ht="21" hidden="false" customHeight="true" outlineLevel="0" collapsed="false">
      <c r="A66" s="8"/>
      <c r="B66" s="102"/>
      <c r="C66" s="87"/>
      <c r="D66" s="88"/>
      <c r="E66" s="89"/>
      <c r="F66" s="90" t="s">
        <v>22</v>
      </c>
      <c r="G66" s="90"/>
      <c r="H66" s="91" t="n">
        <v>32651458</v>
      </c>
      <c r="I66" s="92" t="n">
        <f aca="false">I62/$J$5</f>
        <v>2158708.629</v>
      </c>
      <c r="J66" s="93" t="n">
        <f aca="false">J62/$J$5</f>
        <v>28279874.7435403</v>
      </c>
      <c r="K66" s="103"/>
    </row>
    <row r="67" s="2" customFormat="true" ht="21" hidden="false" customHeight="true" outlineLevel="0" collapsed="false">
      <c r="A67" s="8"/>
      <c r="B67" s="18"/>
      <c r="C67" s="87"/>
      <c r="D67" s="88"/>
      <c r="E67" s="89"/>
      <c r="F67" s="95"/>
      <c r="G67" s="96" t="s">
        <v>10</v>
      </c>
      <c r="H67" s="97" t="n">
        <v>6856806</v>
      </c>
      <c r="I67" s="104"/>
      <c r="J67" s="104"/>
    </row>
    <row r="68" s="2" customFormat="true" ht="21" hidden="false" customHeight="true" outlineLevel="0" collapsed="false">
      <c r="A68" s="8"/>
      <c r="B68" s="18"/>
      <c r="C68" s="42"/>
      <c r="D68" s="105"/>
      <c r="E68" s="43"/>
      <c r="F68" s="99" t="s">
        <v>23</v>
      </c>
      <c r="G68" s="99"/>
      <c r="H68" s="100" t="n">
        <f aca="false">+H67+H66</f>
        <v>39508264</v>
      </c>
      <c r="I68" s="104"/>
      <c r="J68" s="104"/>
    </row>
    <row r="69" s="2" customFormat="true" ht="21" hidden="false" customHeight="true" outlineLevel="0" collapsed="false">
      <c r="A69" s="8"/>
      <c r="B69" s="102"/>
      <c r="C69" s="106"/>
      <c r="D69" s="107"/>
      <c r="E69" s="108"/>
      <c r="F69" s="108"/>
      <c r="G69" s="108"/>
      <c r="H69" s="108"/>
      <c r="I69" s="108"/>
      <c r="J69" s="108"/>
    </row>
    <row r="70" s="113" customFormat="true" ht="33" hidden="false" customHeight="true" outlineLevel="0" collapsed="false">
      <c r="A70" s="7"/>
      <c r="B70" s="18"/>
      <c r="C70" s="42"/>
      <c r="D70" s="109"/>
      <c r="E70" s="110"/>
      <c r="F70" s="110"/>
      <c r="G70" s="111"/>
      <c r="H70" s="110"/>
      <c r="I70" s="112"/>
      <c r="J70" s="112"/>
    </row>
    <row r="71" s="57" customFormat="true" ht="20.1" hidden="false" customHeight="true" outlineLevel="0" collapsed="false">
      <c r="A71" s="47"/>
      <c r="B71" s="114"/>
      <c r="C71" s="115"/>
      <c r="D71" s="116" t="s">
        <v>24</v>
      </c>
      <c r="E71" s="110"/>
      <c r="F71" s="110"/>
      <c r="G71" s="110"/>
      <c r="H71" s="110"/>
      <c r="I71" s="117"/>
      <c r="J71" s="117"/>
    </row>
    <row r="72" s="113" customFormat="true" ht="30" hidden="false" customHeight="true" outlineLevel="0" collapsed="false">
      <c r="A72" s="7"/>
      <c r="B72" s="18"/>
      <c r="C72" s="118"/>
      <c r="D72" s="109"/>
      <c r="E72" s="119"/>
      <c r="F72" s="120"/>
      <c r="G72" s="120"/>
      <c r="H72" s="121"/>
      <c r="I72" s="112"/>
      <c r="J72" s="112"/>
    </row>
    <row r="73" s="94" customFormat="true" ht="15" hidden="false" customHeight="true" outlineLevel="0" collapsed="false">
      <c r="A73" s="85"/>
      <c r="B73" s="122"/>
      <c r="C73" s="49" t="n">
        <v>1</v>
      </c>
      <c r="D73" s="123" t="s">
        <v>25</v>
      </c>
      <c r="E73" s="124" t="s">
        <v>26</v>
      </c>
      <c r="F73" s="125" t="s">
        <v>27</v>
      </c>
      <c r="G73" s="126" t="s">
        <v>28</v>
      </c>
      <c r="H73" s="127" t="s">
        <v>9</v>
      </c>
      <c r="I73" s="128" t="s">
        <v>10</v>
      </c>
      <c r="J73" s="128" t="s">
        <v>11</v>
      </c>
    </row>
    <row r="74" customFormat="false" ht="15" hidden="false" customHeight="true" outlineLevel="0" collapsed="false">
      <c r="A74" s="7"/>
      <c r="B74" s="59"/>
      <c r="C74" s="42"/>
      <c r="D74" s="129" t="s">
        <v>29</v>
      </c>
      <c r="E74" s="130" t="s">
        <v>30</v>
      </c>
      <c r="F74" s="131"/>
      <c r="G74" s="132" t="n">
        <v>0</v>
      </c>
      <c r="H74" s="133" t="n">
        <f aca="false">F74*G74</f>
        <v>0</v>
      </c>
      <c r="I74" s="134" t="n">
        <v>0</v>
      </c>
      <c r="J74" s="134" t="n">
        <f aca="false">H74+I74</f>
        <v>0</v>
      </c>
    </row>
    <row r="75" customFormat="false" ht="15" hidden="false" customHeight="true" outlineLevel="0" collapsed="false">
      <c r="A75" s="7"/>
      <c r="B75" s="59"/>
      <c r="C75" s="42"/>
      <c r="D75" s="135" t="s">
        <v>31</v>
      </c>
      <c r="E75" s="136" t="s">
        <v>30</v>
      </c>
      <c r="F75" s="137" t="n">
        <v>800000</v>
      </c>
      <c r="G75" s="138" t="n">
        <v>8</v>
      </c>
      <c r="H75" s="133" t="n">
        <f aca="false">F75*G75</f>
        <v>6400000</v>
      </c>
      <c r="I75" s="134" t="n">
        <f aca="false">+H75*21%</f>
        <v>1344000</v>
      </c>
      <c r="J75" s="134" t="n">
        <f aca="false">H75+I75</f>
        <v>7744000</v>
      </c>
    </row>
    <row r="76" customFormat="false" ht="15" hidden="false" customHeight="true" outlineLevel="0" collapsed="false">
      <c r="A76" s="7"/>
      <c r="B76" s="59"/>
      <c r="C76" s="42"/>
      <c r="D76" s="135" t="s">
        <v>32</v>
      </c>
      <c r="E76" s="136" t="s">
        <v>30</v>
      </c>
      <c r="F76" s="137" t="n">
        <v>0</v>
      </c>
      <c r="G76" s="138" t="n">
        <v>0</v>
      </c>
      <c r="H76" s="133" t="n">
        <f aca="false">F76*G76</f>
        <v>0</v>
      </c>
      <c r="I76" s="134" t="n">
        <v>0</v>
      </c>
      <c r="J76" s="134" t="n">
        <f aca="false">H76+I76</f>
        <v>0</v>
      </c>
    </row>
    <row r="77" customFormat="false" ht="15" hidden="false" customHeight="true" outlineLevel="0" collapsed="false">
      <c r="A77" s="7"/>
      <c r="B77" s="59"/>
      <c r="C77" s="42"/>
      <c r="D77" s="139" t="s">
        <v>33</v>
      </c>
      <c r="E77" s="136" t="s">
        <v>30</v>
      </c>
      <c r="F77" s="133" t="n">
        <v>0</v>
      </c>
      <c r="G77" s="138" t="n">
        <v>0</v>
      </c>
      <c r="H77" s="133" t="n">
        <f aca="false">F77*G77</f>
        <v>0</v>
      </c>
      <c r="I77" s="134" t="n">
        <v>0</v>
      </c>
      <c r="J77" s="134" t="n">
        <f aca="false">H77+I77</f>
        <v>0</v>
      </c>
    </row>
    <row r="78" customFormat="false" ht="15" hidden="false" customHeight="true" outlineLevel="0" collapsed="false">
      <c r="A78" s="7"/>
      <c r="B78" s="59"/>
      <c r="C78" s="42"/>
      <c r="D78" s="135" t="s">
        <v>34</v>
      </c>
      <c r="E78" s="136" t="s">
        <v>30</v>
      </c>
      <c r="F78" s="133" t="n">
        <v>75000</v>
      </c>
      <c r="G78" s="138" t="n">
        <v>1</v>
      </c>
      <c r="H78" s="133" t="n">
        <f aca="false">F78*G78</f>
        <v>75000</v>
      </c>
      <c r="I78" s="134" t="n">
        <v>0</v>
      </c>
      <c r="J78" s="134" t="n">
        <f aca="false">H78+I78</f>
        <v>75000</v>
      </c>
    </row>
    <row r="79" customFormat="false" ht="15" hidden="false" customHeight="true" outlineLevel="0" collapsed="false">
      <c r="A79" s="7"/>
      <c r="B79" s="59"/>
      <c r="C79" s="42"/>
      <c r="D79" s="135" t="s">
        <v>35</v>
      </c>
      <c r="E79" s="136" t="s">
        <v>30</v>
      </c>
      <c r="F79" s="133" t="n">
        <v>0</v>
      </c>
      <c r="G79" s="138" t="n">
        <v>0</v>
      </c>
      <c r="H79" s="133" t="n">
        <f aca="false">F79*G79</f>
        <v>0</v>
      </c>
      <c r="I79" s="134" t="n">
        <v>0</v>
      </c>
      <c r="J79" s="134" t="n">
        <f aca="false">H79+I79</f>
        <v>0</v>
      </c>
    </row>
    <row r="80" s="94" customFormat="true" ht="15" hidden="false" customHeight="true" outlineLevel="0" collapsed="false">
      <c r="A80" s="85"/>
      <c r="B80" s="86"/>
      <c r="C80" s="140" t="n">
        <f aca="false">SUM(C74:C79)</f>
        <v>0</v>
      </c>
      <c r="D80" s="141"/>
      <c r="E80" s="142"/>
      <c r="F80" s="126" t="s">
        <v>36</v>
      </c>
      <c r="G80" s="126" t="s">
        <v>37</v>
      </c>
      <c r="H80" s="143" t="n">
        <f aca="false">SUM(H74:H79)</f>
        <v>6475000</v>
      </c>
      <c r="I80" s="144" t="n">
        <f aca="false">SUM(I74:I79)</f>
        <v>1344000</v>
      </c>
      <c r="J80" s="144" t="n">
        <f aca="false">H80</f>
        <v>6475000</v>
      </c>
    </row>
    <row r="81" s="113" customFormat="true" ht="30" hidden="false" customHeight="true" outlineLevel="0" collapsed="false">
      <c r="A81" s="7"/>
      <c r="B81" s="18"/>
      <c r="C81" s="118"/>
      <c r="D81" s="109"/>
      <c r="E81" s="119"/>
      <c r="F81" s="120"/>
      <c r="G81" s="120"/>
      <c r="H81" s="121"/>
      <c r="I81" s="112"/>
      <c r="J81" s="112"/>
    </row>
    <row r="82" s="94" customFormat="true" ht="15" hidden="false" customHeight="true" outlineLevel="0" collapsed="false">
      <c r="A82" s="85"/>
      <c r="B82" s="122"/>
      <c r="C82" s="49" t="n">
        <v>2</v>
      </c>
      <c r="D82" s="123" t="s">
        <v>38</v>
      </c>
      <c r="E82" s="124" t="s">
        <v>26</v>
      </c>
      <c r="F82" s="125" t="s">
        <v>27</v>
      </c>
      <c r="G82" s="126" t="s">
        <v>28</v>
      </c>
      <c r="H82" s="127" t="s">
        <v>9</v>
      </c>
      <c r="I82" s="128" t="s">
        <v>10</v>
      </c>
      <c r="J82" s="128" t="s">
        <v>11</v>
      </c>
    </row>
    <row r="83" s="25" customFormat="true" ht="15" hidden="false" customHeight="true" outlineLevel="0" collapsed="false">
      <c r="A83" s="7"/>
      <c r="B83" s="59"/>
      <c r="C83" s="145" t="n">
        <v>1</v>
      </c>
      <c r="D83" s="135" t="s">
        <v>39</v>
      </c>
      <c r="E83" s="136" t="s">
        <v>30</v>
      </c>
      <c r="F83" s="133" t="n">
        <v>800000</v>
      </c>
      <c r="G83" s="138" t="n">
        <v>9</v>
      </c>
      <c r="H83" s="133" t="n">
        <f aca="false">F83*G83</f>
        <v>7200000</v>
      </c>
      <c r="I83" s="146" t="n">
        <f aca="false">H83*21%</f>
        <v>1512000</v>
      </c>
      <c r="J83" s="146" t="n">
        <f aca="false">H83+I83</f>
        <v>8712000</v>
      </c>
    </row>
    <row r="84" s="25" customFormat="true" ht="15" hidden="false" customHeight="true" outlineLevel="0" collapsed="false">
      <c r="A84" s="7"/>
      <c r="B84" s="59"/>
      <c r="C84" s="145"/>
      <c r="D84" s="135" t="s">
        <v>40</v>
      </c>
      <c r="E84" s="136" t="s">
        <v>30</v>
      </c>
      <c r="F84" s="133" t="n">
        <v>0</v>
      </c>
      <c r="G84" s="138" t="n">
        <v>1</v>
      </c>
      <c r="H84" s="133" t="n">
        <f aca="false">F84*G84</f>
        <v>0</v>
      </c>
      <c r="I84" s="146" t="n">
        <v>0</v>
      </c>
      <c r="J84" s="146" t="n">
        <f aca="false">H84</f>
        <v>0</v>
      </c>
    </row>
    <row r="85" s="25" customFormat="true" ht="15" hidden="false" customHeight="true" outlineLevel="0" collapsed="false">
      <c r="A85" s="7"/>
      <c r="B85" s="59"/>
      <c r="C85" s="145"/>
      <c r="D85" s="135" t="s">
        <v>41</v>
      </c>
      <c r="E85" s="136" t="s">
        <v>30</v>
      </c>
      <c r="F85" s="133" t="n">
        <v>0</v>
      </c>
      <c r="G85" s="138" t="n">
        <v>1</v>
      </c>
      <c r="H85" s="133" t="n">
        <f aca="false">F85*G85</f>
        <v>0</v>
      </c>
      <c r="I85" s="146" t="n">
        <v>0</v>
      </c>
      <c r="J85" s="146" t="n">
        <f aca="false">H85</f>
        <v>0</v>
      </c>
    </row>
    <row r="86" s="94" customFormat="true" ht="15" hidden="false" customHeight="true" outlineLevel="0" collapsed="false">
      <c r="A86" s="85"/>
      <c r="B86" s="86"/>
      <c r="C86" s="140" t="n">
        <f aca="false">SUM(C83:C85)</f>
        <v>1</v>
      </c>
      <c r="D86" s="141"/>
      <c r="E86" s="142"/>
      <c r="F86" s="126" t="s">
        <v>42</v>
      </c>
      <c r="G86" s="126" t="s">
        <v>37</v>
      </c>
      <c r="H86" s="143" t="n">
        <f aca="false">SUM(H83:H85)</f>
        <v>7200000</v>
      </c>
      <c r="I86" s="144" t="n">
        <f aca="false">SUM(I83:I85)</f>
        <v>1512000</v>
      </c>
      <c r="J86" s="144" t="n">
        <f aca="false">SUM(J83:J85)</f>
        <v>8712000</v>
      </c>
    </row>
    <row r="87" s="113" customFormat="true" ht="30" hidden="false" customHeight="true" outlineLevel="0" collapsed="false">
      <c r="A87" s="7"/>
      <c r="B87" s="18"/>
      <c r="C87" s="118"/>
      <c r="D87" s="109"/>
      <c r="E87" s="119"/>
      <c r="F87" s="120"/>
      <c r="G87" s="120"/>
      <c r="H87" s="121"/>
      <c r="I87" s="112"/>
      <c r="J87" s="112"/>
    </row>
    <row r="88" s="94" customFormat="true" ht="15" hidden="false" customHeight="true" outlineLevel="0" collapsed="false">
      <c r="A88" s="85"/>
      <c r="B88" s="122"/>
      <c r="C88" s="49" t="n">
        <v>3</v>
      </c>
      <c r="D88" s="123" t="s">
        <v>43</v>
      </c>
      <c r="E88" s="124" t="s">
        <v>26</v>
      </c>
      <c r="F88" s="125" t="s">
        <v>27</v>
      </c>
      <c r="G88" s="126" t="s">
        <v>28</v>
      </c>
      <c r="H88" s="127" t="s">
        <v>9</v>
      </c>
      <c r="I88" s="128" t="s">
        <v>10</v>
      </c>
      <c r="J88" s="128" t="s">
        <v>11</v>
      </c>
    </row>
    <row r="89" s="25" customFormat="true" ht="15" hidden="false" customHeight="true" outlineLevel="0" collapsed="false">
      <c r="A89" s="7"/>
      <c r="B89" s="59"/>
      <c r="C89" s="42"/>
      <c r="D89" s="135" t="s">
        <v>44</v>
      </c>
      <c r="E89" s="136" t="s">
        <v>30</v>
      </c>
      <c r="F89" s="133" t="n">
        <v>0</v>
      </c>
      <c r="G89" s="138" t="n">
        <v>0</v>
      </c>
      <c r="H89" s="133" t="n">
        <f aca="false">F89*G89</f>
        <v>0</v>
      </c>
      <c r="I89" s="146" t="n">
        <v>0</v>
      </c>
      <c r="J89" s="146" t="n">
        <f aca="false">H89</f>
        <v>0</v>
      </c>
    </row>
    <row r="90" s="25" customFormat="true" ht="15" hidden="false" customHeight="true" outlineLevel="0" collapsed="false">
      <c r="A90" s="7"/>
      <c r="B90" s="59"/>
      <c r="C90" s="145" t="n">
        <v>1</v>
      </c>
      <c r="D90" s="135" t="s">
        <v>45</v>
      </c>
      <c r="E90" s="136" t="s">
        <v>30</v>
      </c>
      <c r="F90" s="133" t="n">
        <v>500000</v>
      </c>
      <c r="G90" s="138" t="n">
        <v>9</v>
      </c>
      <c r="H90" s="133" t="n">
        <f aca="false">F90*G90</f>
        <v>4500000</v>
      </c>
      <c r="I90" s="146" t="n">
        <f aca="false">H90*21%</f>
        <v>945000</v>
      </c>
      <c r="J90" s="146" t="n">
        <f aca="false">H90+I90</f>
        <v>5445000</v>
      </c>
    </row>
    <row r="91" s="25" customFormat="true" ht="15" hidden="false" customHeight="true" outlineLevel="0" collapsed="false">
      <c r="A91" s="7"/>
      <c r="B91" s="59"/>
      <c r="C91" s="145"/>
      <c r="D91" s="135" t="s">
        <v>46</v>
      </c>
      <c r="E91" s="136" t="s">
        <v>30</v>
      </c>
      <c r="F91" s="133" t="n">
        <v>0</v>
      </c>
      <c r="G91" s="138" t="n">
        <v>0</v>
      </c>
      <c r="H91" s="133" t="n">
        <f aca="false">F91*G91</f>
        <v>0</v>
      </c>
      <c r="I91" s="146" t="n">
        <v>0</v>
      </c>
      <c r="J91" s="146" t="n">
        <f aca="false">H91</f>
        <v>0</v>
      </c>
    </row>
    <row r="92" s="25" customFormat="true" ht="15" hidden="false" customHeight="true" outlineLevel="0" collapsed="false">
      <c r="A92" s="7"/>
      <c r="B92" s="59"/>
      <c r="C92" s="145"/>
      <c r="D92" s="135" t="s">
        <v>47</v>
      </c>
      <c r="E92" s="136" t="s">
        <v>48</v>
      </c>
      <c r="F92" s="133" t="n">
        <v>0</v>
      </c>
      <c r="G92" s="138" t="n">
        <v>0</v>
      </c>
      <c r="H92" s="133" t="n">
        <f aca="false">F92*G92</f>
        <v>0</v>
      </c>
      <c r="I92" s="146" t="n">
        <v>0</v>
      </c>
      <c r="J92" s="146" t="n">
        <f aca="false">H92</f>
        <v>0</v>
      </c>
    </row>
    <row r="93" s="94" customFormat="true" ht="15" hidden="false" customHeight="true" outlineLevel="0" collapsed="false">
      <c r="A93" s="85"/>
      <c r="B93" s="86"/>
      <c r="C93" s="140" t="n">
        <f aca="false">SUM(C89:C92)</f>
        <v>1</v>
      </c>
      <c r="D93" s="141"/>
      <c r="E93" s="142"/>
      <c r="F93" s="126" t="s">
        <v>49</v>
      </c>
      <c r="G93" s="126" t="s">
        <v>37</v>
      </c>
      <c r="H93" s="143" t="n">
        <f aca="false">SUM(H89:H92)</f>
        <v>4500000</v>
      </c>
      <c r="I93" s="144" t="n">
        <f aca="false">SUM(I89:I92)</f>
        <v>945000</v>
      </c>
      <c r="J93" s="144" t="n">
        <f aca="false">SUM(J89:J92)</f>
        <v>5445000</v>
      </c>
    </row>
    <row r="94" s="113" customFormat="true" ht="30" hidden="false" customHeight="true" outlineLevel="0" collapsed="false">
      <c r="A94" s="7"/>
      <c r="B94" s="18"/>
      <c r="C94" s="118"/>
      <c r="D94" s="109"/>
      <c r="E94" s="119"/>
      <c r="F94" s="120"/>
      <c r="G94" s="120"/>
      <c r="H94" s="121"/>
      <c r="I94" s="112"/>
      <c r="J94" s="112"/>
    </row>
    <row r="95" s="94" customFormat="true" ht="15" hidden="false" customHeight="true" outlineLevel="0" collapsed="false">
      <c r="A95" s="85"/>
      <c r="B95" s="122"/>
      <c r="C95" s="147" t="n">
        <v>4</v>
      </c>
      <c r="D95" s="123" t="s">
        <v>50</v>
      </c>
      <c r="E95" s="124" t="s">
        <v>26</v>
      </c>
      <c r="F95" s="125" t="s">
        <v>27</v>
      </c>
      <c r="G95" s="126" t="s">
        <v>28</v>
      </c>
      <c r="H95" s="127" t="s">
        <v>9</v>
      </c>
      <c r="I95" s="128" t="s">
        <v>10</v>
      </c>
      <c r="J95" s="128" t="s">
        <v>11</v>
      </c>
    </row>
    <row r="96" s="156" customFormat="true" ht="15" hidden="false" customHeight="true" outlineLevel="0" collapsed="false">
      <c r="A96" s="148"/>
      <c r="B96" s="149"/>
      <c r="C96" s="145"/>
      <c r="D96" s="150" t="s">
        <v>51</v>
      </c>
      <c r="E96" s="151"/>
      <c r="F96" s="152"/>
      <c r="G96" s="153"/>
      <c r="H96" s="154"/>
      <c r="I96" s="155"/>
      <c r="J96" s="155"/>
    </row>
    <row r="97" s="156" customFormat="true" ht="15" hidden="false" customHeight="true" outlineLevel="0" collapsed="false">
      <c r="A97" s="148"/>
      <c r="B97" s="149"/>
      <c r="C97" s="145"/>
      <c r="D97" s="157" t="s">
        <v>52</v>
      </c>
      <c r="E97" s="151"/>
      <c r="F97" s="152"/>
      <c r="G97" s="153"/>
      <c r="H97" s="158"/>
      <c r="I97" s="155"/>
      <c r="J97" s="155"/>
    </row>
    <row r="98" s="156" customFormat="true" ht="15" hidden="false" customHeight="true" outlineLevel="0" collapsed="false">
      <c r="A98" s="148"/>
      <c r="B98" s="149"/>
      <c r="C98" s="145" t="n">
        <v>1</v>
      </c>
      <c r="D98" s="159" t="s">
        <v>53</v>
      </c>
      <c r="E98" s="160" t="n">
        <v>171110.03</v>
      </c>
      <c r="F98" s="161"/>
      <c r="G98" s="25"/>
      <c r="H98" s="162"/>
      <c r="I98" s="163"/>
      <c r="J98" s="164"/>
    </row>
    <row r="99" s="156" customFormat="true" ht="12.75" hidden="false" customHeight="false" outlineLevel="0" collapsed="false">
      <c r="A99" s="148"/>
      <c r="B99" s="165"/>
      <c r="C99" s="42"/>
      <c r="D99" s="166" t="s">
        <v>54</v>
      </c>
      <c r="E99" s="160" t="s">
        <v>55</v>
      </c>
      <c r="F99" s="167" t="n">
        <f aca="false">E98</f>
        <v>171110.03</v>
      </c>
      <c r="G99" s="168" t="n">
        <v>2.5</v>
      </c>
      <c r="H99" s="133" t="n">
        <f aca="false">+G99*F99</f>
        <v>427775.075</v>
      </c>
      <c r="I99" s="169"/>
      <c r="J99" s="170"/>
    </row>
    <row r="100" s="156" customFormat="true" ht="12.75" hidden="false" customHeight="false" outlineLevel="0" collapsed="false">
      <c r="A100" s="148"/>
      <c r="B100" s="165"/>
      <c r="C100" s="42"/>
      <c r="D100" s="166" t="s">
        <v>4</v>
      </c>
      <c r="E100" s="160" t="s">
        <v>55</v>
      </c>
      <c r="F100" s="167" t="n">
        <f aca="false">F99</f>
        <v>171110.03</v>
      </c>
      <c r="G100" s="171" t="n">
        <v>3</v>
      </c>
      <c r="H100" s="133" t="n">
        <f aca="false">+G100*F100</f>
        <v>513330.09</v>
      </c>
      <c r="I100" s="169"/>
      <c r="J100" s="170"/>
    </row>
    <row r="101" s="156" customFormat="true" ht="12.75" hidden="false" customHeight="false" outlineLevel="0" collapsed="false">
      <c r="A101" s="148"/>
      <c r="B101" s="165"/>
      <c r="C101" s="42"/>
      <c r="D101" s="166" t="s">
        <v>56</v>
      </c>
      <c r="E101" s="172" t="n">
        <f aca="false">22*3</f>
        <v>66</v>
      </c>
      <c r="F101" s="167" t="n">
        <f aca="false">(F100/150)*2</f>
        <v>2281.46706666667</v>
      </c>
      <c r="G101" s="168" t="n">
        <v>5.5</v>
      </c>
      <c r="H101" s="133" t="n">
        <f aca="false">E101*F101*G101</f>
        <v>828172.5452</v>
      </c>
      <c r="I101" s="169"/>
      <c r="J101" s="170"/>
    </row>
    <row r="102" s="156" customFormat="true" ht="12.75" hidden="false" customHeight="false" outlineLevel="0" collapsed="false">
      <c r="A102" s="148"/>
      <c r="B102" s="165"/>
      <c r="C102" s="42"/>
      <c r="D102" s="166" t="s">
        <v>57</v>
      </c>
      <c r="E102" s="173" t="s">
        <v>58</v>
      </c>
      <c r="F102" s="167" t="n">
        <v>0</v>
      </c>
      <c r="G102" s="133" t="n">
        <f aca="false">$H$3</f>
        <v>66</v>
      </c>
      <c r="H102" s="133" t="n">
        <f aca="false">+G102*F102</f>
        <v>0</v>
      </c>
      <c r="I102" s="169"/>
      <c r="J102" s="170"/>
    </row>
    <row r="103" s="156" customFormat="true" ht="12.75" hidden="false" customHeight="false" outlineLevel="0" collapsed="false">
      <c r="A103" s="148"/>
      <c r="B103" s="165"/>
      <c r="C103" s="42"/>
      <c r="D103" s="166" t="s">
        <v>59</v>
      </c>
      <c r="E103" s="173" t="s">
        <v>58</v>
      </c>
      <c r="F103" s="167" t="n">
        <v>0</v>
      </c>
      <c r="G103" s="133" t="n">
        <f aca="false">$H$4</f>
        <v>103</v>
      </c>
      <c r="H103" s="133" t="n">
        <f aca="false">+G103*F103</f>
        <v>0</v>
      </c>
      <c r="I103" s="169"/>
      <c r="J103" s="170"/>
    </row>
    <row r="104" s="156" customFormat="true" ht="12.75" hidden="false" customHeight="false" outlineLevel="0" collapsed="false">
      <c r="A104" s="148"/>
      <c r="B104" s="165"/>
      <c r="C104" s="42"/>
      <c r="D104" s="166" t="s">
        <v>60</v>
      </c>
      <c r="E104" s="160" t="s">
        <v>61</v>
      </c>
      <c r="F104" s="167" t="n">
        <f aca="false">F100</f>
        <v>171110.03</v>
      </c>
      <c r="G104" s="133" t="n">
        <v>4</v>
      </c>
      <c r="H104" s="133" t="n">
        <f aca="false">+G104*F104</f>
        <v>684440.12</v>
      </c>
      <c r="I104" s="169"/>
      <c r="J104" s="170"/>
    </row>
    <row r="105" s="156" customFormat="true" ht="12.75" hidden="false" customHeight="false" outlineLevel="0" collapsed="false">
      <c r="A105" s="148"/>
      <c r="B105" s="165"/>
      <c r="C105" s="42"/>
      <c r="D105" s="166" t="s">
        <v>62</v>
      </c>
      <c r="E105" s="173" t="s">
        <v>30</v>
      </c>
      <c r="F105" s="174" t="n">
        <f aca="false">+G99+G100+G104</f>
        <v>9.5</v>
      </c>
      <c r="G105" s="137" t="s">
        <v>63</v>
      </c>
      <c r="H105" s="133" t="n">
        <f aca="false">SUM(H99:H104)</f>
        <v>2453717.8302</v>
      </c>
      <c r="I105" s="169"/>
      <c r="J105" s="170"/>
    </row>
    <row r="106" s="156" customFormat="true" ht="12.75" hidden="false" customHeight="false" outlineLevel="0" collapsed="false">
      <c r="A106" s="148"/>
      <c r="B106" s="165"/>
      <c r="C106" s="42"/>
      <c r="D106" s="175" t="s">
        <v>64</v>
      </c>
      <c r="E106" s="173" t="s">
        <v>30</v>
      </c>
      <c r="F106" s="167"/>
      <c r="G106" s="176"/>
      <c r="H106" s="133" t="n">
        <f aca="false">H105*8.33%</f>
        <v>204394.69525566</v>
      </c>
      <c r="I106" s="177"/>
      <c r="J106" s="178"/>
    </row>
    <row r="107" s="156" customFormat="true" ht="12.75" hidden="false" customHeight="false" outlineLevel="0" collapsed="false">
      <c r="A107" s="148"/>
      <c r="B107" s="165"/>
      <c r="C107" s="42"/>
      <c r="D107" s="175" t="s">
        <v>65</v>
      </c>
      <c r="E107" s="179" t="s">
        <v>66</v>
      </c>
      <c r="F107" s="167"/>
      <c r="G107" s="180"/>
      <c r="H107" s="133" t="n">
        <f aca="false">H105*7%</f>
        <v>171760.248114</v>
      </c>
      <c r="I107" s="181" t="n">
        <v>0</v>
      </c>
      <c r="J107" s="182" t="n">
        <f aca="false">+(H105+H106+H107)*C98</f>
        <v>2829872.77356966</v>
      </c>
    </row>
    <row r="108" s="156" customFormat="true" ht="12.75" hidden="false" customHeight="false" outlineLevel="0" collapsed="false">
      <c r="A108" s="148"/>
      <c r="B108" s="165"/>
      <c r="C108" s="42"/>
      <c r="D108" s="183"/>
      <c r="E108" s="119"/>
      <c r="F108" s="161"/>
      <c r="G108" s="184"/>
      <c r="H108" s="185"/>
      <c r="I108" s="186"/>
      <c r="J108" s="170"/>
    </row>
    <row r="109" s="156" customFormat="true" ht="15" hidden="false" customHeight="true" outlineLevel="0" collapsed="false">
      <c r="A109" s="148"/>
      <c r="B109" s="149"/>
      <c r="C109" s="145" t="n">
        <v>1</v>
      </c>
      <c r="D109" s="159" t="s">
        <v>67</v>
      </c>
      <c r="E109" s="187" t="n">
        <v>129385.85</v>
      </c>
      <c r="F109" s="161"/>
      <c r="G109" s="25"/>
      <c r="H109" s="162"/>
      <c r="I109" s="163"/>
      <c r="J109" s="164"/>
    </row>
    <row r="110" s="156" customFormat="true" ht="12.75" hidden="false" customHeight="false" outlineLevel="0" collapsed="false">
      <c r="A110" s="148"/>
      <c r="B110" s="165"/>
      <c r="C110" s="42"/>
      <c r="D110" s="166" t="s">
        <v>54</v>
      </c>
      <c r="E110" s="160" t="s">
        <v>55</v>
      </c>
      <c r="F110" s="167"/>
      <c r="G110" s="168" t="n">
        <v>2.5</v>
      </c>
      <c r="H110" s="133" t="n">
        <f aca="false">+G110*F110</f>
        <v>0</v>
      </c>
      <c r="I110" s="169"/>
      <c r="J110" s="170"/>
    </row>
    <row r="111" s="156" customFormat="true" ht="12.75" hidden="false" customHeight="false" outlineLevel="0" collapsed="false">
      <c r="A111" s="148"/>
      <c r="B111" s="165"/>
      <c r="C111" s="42"/>
      <c r="D111" s="166" t="s">
        <v>4</v>
      </c>
      <c r="E111" s="160" t="s">
        <v>55</v>
      </c>
      <c r="F111" s="167" t="n">
        <f aca="false">E109</f>
        <v>129385.85</v>
      </c>
      <c r="G111" s="171" t="n">
        <v>3</v>
      </c>
      <c r="H111" s="133" t="n">
        <f aca="false">+G111*F111</f>
        <v>388157.55</v>
      </c>
      <c r="I111" s="169"/>
      <c r="J111" s="170"/>
    </row>
    <row r="112" s="156" customFormat="true" ht="12.75" hidden="false" customHeight="false" outlineLevel="0" collapsed="false">
      <c r="A112" s="148"/>
      <c r="B112" s="165"/>
      <c r="C112" s="42"/>
      <c r="D112" s="166" t="s">
        <v>56</v>
      </c>
      <c r="E112" s="172" t="n">
        <f aca="false">22*3</f>
        <v>66</v>
      </c>
      <c r="F112" s="167" t="n">
        <f aca="false">(F111/150)*2</f>
        <v>1725.14466666667</v>
      </c>
      <c r="G112" s="168" t="n">
        <v>5.5</v>
      </c>
      <c r="H112" s="133" t="n">
        <f aca="false">+G112*F112*E112</f>
        <v>626227.514</v>
      </c>
      <c r="I112" s="169"/>
      <c r="J112" s="170"/>
    </row>
    <row r="113" s="156" customFormat="true" ht="12.75" hidden="false" customHeight="false" outlineLevel="0" collapsed="false">
      <c r="A113" s="148"/>
      <c r="B113" s="165"/>
      <c r="C113" s="42"/>
      <c r="D113" s="166" t="s">
        <v>57</v>
      </c>
      <c r="E113" s="173" t="s">
        <v>58</v>
      </c>
      <c r="F113" s="167" t="n">
        <v>0</v>
      </c>
      <c r="G113" s="133" t="n">
        <f aca="false">$H$3</f>
        <v>66</v>
      </c>
      <c r="H113" s="133" t="n">
        <f aca="false">+G113*F113</f>
        <v>0</v>
      </c>
      <c r="I113" s="169"/>
      <c r="J113" s="170"/>
    </row>
    <row r="114" s="156" customFormat="true" ht="12.75" hidden="false" customHeight="false" outlineLevel="0" collapsed="false">
      <c r="A114" s="148"/>
      <c r="B114" s="165"/>
      <c r="C114" s="42"/>
      <c r="D114" s="166" t="s">
        <v>59</v>
      </c>
      <c r="E114" s="173" t="s">
        <v>58</v>
      </c>
      <c r="F114" s="167" t="n">
        <v>0</v>
      </c>
      <c r="G114" s="133" t="n">
        <f aca="false">$H$4</f>
        <v>103</v>
      </c>
      <c r="H114" s="133" t="n">
        <f aca="false">+G114*F114</f>
        <v>0</v>
      </c>
      <c r="I114" s="169"/>
      <c r="J114" s="170"/>
    </row>
    <row r="115" s="156" customFormat="true" ht="12.75" hidden="false" customHeight="false" outlineLevel="0" collapsed="false">
      <c r="A115" s="148"/>
      <c r="B115" s="165"/>
      <c r="C115" s="42"/>
      <c r="D115" s="166" t="s">
        <v>60</v>
      </c>
      <c r="E115" s="160" t="s">
        <v>61</v>
      </c>
      <c r="F115" s="167" t="n">
        <f aca="false">F111</f>
        <v>129385.85</v>
      </c>
      <c r="G115" s="133" t="n">
        <v>4</v>
      </c>
      <c r="H115" s="133" t="n">
        <f aca="false">+G115*F115</f>
        <v>517543.4</v>
      </c>
      <c r="I115" s="169"/>
      <c r="J115" s="170"/>
    </row>
    <row r="116" s="156" customFormat="true" ht="12.75" hidden="false" customHeight="false" outlineLevel="0" collapsed="false">
      <c r="A116" s="148"/>
      <c r="B116" s="165"/>
      <c r="C116" s="42"/>
      <c r="D116" s="166" t="s">
        <v>62</v>
      </c>
      <c r="E116" s="173" t="s">
        <v>30</v>
      </c>
      <c r="F116" s="161" t="n">
        <f aca="false">+G110+G111+G115</f>
        <v>9.5</v>
      </c>
      <c r="G116" s="137" t="s">
        <v>63</v>
      </c>
      <c r="H116" s="133" t="n">
        <f aca="false">SUM(H110:H115)</f>
        <v>1531928.464</v>
      </c>
      <c r="I116" s="169"/>
      <c r="J116" s="170"/>
    </row>
    <row r="117" s="156" customFormat="true" ht="12.75" hidden="false" customHeight="false" outlineLevel="0" collapsed="false">
      <c r="A117" s="148"/>
      <c r="B117" s="165"/>
      <c r="C117" s="42"/>
      <c r="D117" s="175" t="s">
        <v>64</v>
      </c>
      <c r="E117" s="173" t="s">
        <v>30</v>
      </c>
      <c r="F117" s="167"/>
      <c r="G117" s="188"/>
      <c r="H117" s="133" t="n">
        <f aca="false">H116*8.33%</f>
        <v>127609.6410512</v>
      </c>
      <c r="I117" s="177"/>
      <c r="J117" s="178"/>
    </row>
    <row r="118" s="156" customFormat="true" ht="12.75" hidden="false" customHeight="false" outlineLevel="0" collapsed="false">
      <c r="A118" s="148"/>
      <c r="B118" s="165"/>
      <c r="C118" s="42"/>
      <c r="D118" s="175" t="s">
        <v>65</v>
      </c>
      <c r="E118" s="167"/>
      <c r="F118" s="167"/>
      <c r="G118" s="180"/>
      <c r="H118" s="133" t="n">
        <f aca="false">H116*7%</f>
        <v>107234.99248</v>
      </c>
      <c r="I118" s="181" t="n">
        <v>0</v>
      </c>
      <c r="J118" s="182" t="n">
        <f aca="false">+(H116+H117+H118)*C109</f>
        <v>1766773.0975312</v>
      </c>
    </row>
    <row r="119" s="156" customFormat="true" ht="12.75" hidden="false" customHeight="false" outlineLevel="0" collapsed="false">
      <c r="A119" s="148"/>
      <c r="B119" s="165"/>
      <c r="C119" s="42"/>
      <c r="D119" s="183"/>
      <c r="E119" s="189"/>
      <c r="F119" s="161"/>
      <c r="G119" s="184"/>
      <c r="H119" s="185"/>
      <c r="I119" s="186"/>
      <c r="J119" s="170"/>
    </row>
    <row r="120" s="156" customFormat="true" ht="15" hidden="false" customHeight="true" outlineLevel="0" collapsed="false">
      <c r="A120" s="148"/>
      <c r="B120" s="149"/>
      <c r="C120" s="145" t="n">
        <v>2</v>
      </c>
      <c r="D120" s="159" t="s">
        <v>68</v>
      </c>
      <c r="E120" s="187" t="n">
        <v>101647.54</v>
      </c>
      <c r="F120" s="161"/>
      <c r="G120" s="190"/>
      <c r="H120" s="162"/>
      <c r="I120" s="191"/>
      <c r="J120" s="164"/>
    </row>
    <row r="121" s="156" customFormat="true" ht="12.75" hidden="false" customHeight="false" outlineLevel="0" collapsed="false">
      <c r="A121" s="148"/>
      <c r="B121" s="165"/>
      <c r="C121" s="42"/>
      <c r="D121" s="166" t="s">
        <v>54</v>
      </c>
      <c r="E121" s="160" t="s">
        <v>55</v>
      </c>
      <c r="F121" s="167" t="n">
        <f aca="false">E120</f>
        <v>101647.54</v>
      </c>
      <c r="G121" s="168" t="n">
        <v>2</v>
      </c>
      <c r="H121" s="133" t="n">
        <f aca="false">+G121*F121</f>
        <v>203295.08</v>
      </c>
      <c r="I121" s="186"/>
      <c r="J121" s="170"/>
    </row>
    <row r="122" s="156" customFormat="true" ht="12.75" hidden="false" customHeight="false" outlineLevel="0" collapsed="false">
      <c r="A122" s="148"/>
      <c r="B122" s="165"/>
      <c r="C122" s="42"/>
      <c r="D122" s="166" t="s">
        <v>4</v>
      </c>
      <c r="E122" s="160" t="s">
        <v>55</v>
      </c>
      <c r="F122" s="167" t="n">
        <f aca="false">F121</f>
        <v>101647.54</v>
      </c>
      <c r="G122" s="171" t="n">
        <v>3</v>
      </c>
      <c r="H122" s="133" t="n">
        <f aca="false">+G122*F122</f>
        <v>304942.62</v>
      </c>
      <c r="I122" s="186"/>
      <c r="J122" s="170"/>
    </row>
    <row r="123" s="156" customFormat="true" ht="12.75" hidden="false" customHeight="false" outlineLevel="0" collapsed="false">
      <c r="A123" s="148"/>
      <c r="B123" s="165"/>
      <c r="C123" s="42"/>
      <c r="D123" s="166" t="s">
        <v>56</v>
      </c>
      <c r="E123" s="172" t="n">
        <f aca="false">22*3</f>
        <v>66</v>
      </c>
      <c r="F123" s="167" t="n">
        <f aca="false">(F122/150)*2</f>
        <v>1355.30053333333</v>
      </c>
      <c r="G123" s="168" t="n">
        <v>5</v>
      </c>
      <c r="H123" s="133" t="n">
        <f aca="false">+G123*F123*E123</f>
        <v>447249.176</v>
      </c>
      <c r="I123" s="186"/>
      <c r="J123" s="170"/>
    </row>
    <row r="124" s="156" customFormat="true" ht="12.75" hidden="false" customHeight="false" outlineLevel="0" collapsed="false">
      <c r="A124" s="148"/>
      <c r="B124" s="165"/>
      <c r="C124" s="42"/>
      <c r="D124" s="166" t="s">
        <v>57</v>
      </c>
      <c r="E124" s="173" t="s">
        <v>58</v>
      </c>
      <c r="F124" s="167" t="n">
        <v>0</v>
      </c>
      <c r="G124" s="133" t="n">
        <f aca="false">$H$3</f>
        <v>66</v>
      </c>
      <c r="H124" s="133" t="n">
        <f aca="false">+G124*F124</f>
        <v>0</v>
      </c>
      <c r="I124" s="186"/>
      <c r="J124" s="170"/>
    </row>
    <row r="125" s="156" customFormat="true" ht="12.75" hidden="false" customHeight="false" outlineLevel="0" collapsed="false">
      <c r="A125" s="148"/>
      <c r="B125" s="165"/>
      <c r="C125" s="42"/>
      <c r="D125" s="166" t="s">
        <v>59</v>
      </c>
      <c r="E125" s="173" t="s">
        <v>58</v>
      </c>
      <c r="F125" s="167" t="n">
        <v>0</v>
      </c>
      <c r="G125" s="133" t="n">
        <f aca="false">$H$4</f>
        <v>103</v>
      </c>
      <c r="H125" s="133" t="n">
        <f aca="false">+G125*F125</f>
        <v>0</v>
      </c>
      <c r="I125" s="186"/>
      <c r="J125" s="170"/>
    </row>
    <row r="126" s="156" customFormat="true" ht="12.75" hidden="false" customHeight="false" outlineLevel="0" collapsed="false">
      <c r="A126" s="148"/>
      <c r="B126" s="165"/>
      <c r="C126" s="42"/>
      <c r="D126" s="166" t="s">
        <v>60</v>
      </c>
      <c r="E126" s="160" t="s">
        <v>61</v>
      </c>
      <c r="F126" s="167" t="n">
        <f aca="false">F122</f>
        <v>101647.54</v>
      </c>
      <c r="G126" s="168" t="n">
        <v>4</v>
      </c>
      <c r="H126" s="133" t="n">
        <f aca="false">+G126*F126</f>
        <v>406590.16</v>
      </c>
      <c r="I126" s="186"/>
      <c r="J126" s="170"/>
    </row>
    <row r="127" s="156" customFormat="true" ht="12.75" hidden="false" customHeight="false" outlineLevel="0" collapsed="false">
      <c r="A127" s="148"/>
      <c r="B127" s="165"/>
      <c r="C127" s="42"/>
      <c r="D127" s="166" t="s">
        <v>62</v>
      </c>
      <c r="E127" s="173" t="s">
        <v>30</v>
      </c>
      <c r="F127" s="161" t="n">
        <f aca="false">G121+G122+G126</f>
        <v>9</v>
      </c>
      <c r="G127" s="137" t="s">
        <v>63</v>
      </c>
      <c r="H127" s="133" t="n">
        <f aca="false">SUM(H121:H126)</f>
        <v>1362077.036</v>
      </c>
      <c r="I127" s="169"/>
      <c r="J127" s="170"/>
    </row>
    <row r="128" s="156" customFormat="true" ht="12.75" hidden="false" customHeight="false" outlineLevel="0" collapsed="false">
      <c r="A128" s="148"/>
      <c r="B128" s="165"/>
      <c r="C128" s="42"/>
      <c r="D128" s="175" t="s">
        <v>64</v>
      </c>
      <c r="E128" s="173" t="s">
        <v>30</v>
      </c>
      <c r="F128" s="167"/>
      <c r="G128" s="188"/>
      <c r="H128" s="133" t="n">
        <f aca="false">H127*8.33%</f>
        <v>113461.0170988</v>
      </c>
      <c r="I128" s="177"/>
      <c r="J128" s="178"/>
    </row>
    <row r="129" s="156" customFormat="true" ht="12.75" hidden="false" customHeight="false" outlineLevel="0" collapsed="false">
      <c r="A129" s="148"/>
      <c r="B129" s="165"/>
      <c r="C129" s="42"/>
      <c r="D129" s="175" t="s">
        <v>65</v>
      </c>
      <c r="E129" s="167"/>
      <c r="F129" s="167"/>
      <c r="G129" s="180"/>
      <c r="H129" s="133" t="n">
        <f aca="false">H127*7%</f>
        <v>95345.39252</v>
      </c>
      <c r="I129" s="181" t="n">
        <v>0</v>
      </c>
      <c r="J129" s="182" t="n">
        <f aca="false">+(H127+H128+H129)*C120</f>
        <v>3141766.8912376</v>
      </c>
    </row>
    <row r="130" s="156" customFormat="true" ht="12.75" hidden="false" customHeight="false" outlineLevel="0" collapsed="false">
      <c r="A130" s="148"/>
      <c r="B130" s="165"/>
      <c r="C130" s="42"/>
      <c r="D130" s="183"/>
      <c r="E130" s="119"/>
      <c r="F130" s="161"/>
      <c r="G130" s="184"/>
      <c r="H130" s="185"/>
      <c r="I130" s="186"/>
      <c r="J130" s="170"/>
    </row>
    <row r="131" s="156" customFormat="true" ht="15" hidden="false" customHeight="true" outlineLevel="0" collapsed="false">
      <c r="A131" s="148"/>
      <c r="B131" s="149"/>
      <c r="C131" s="145" t="n">
        <v>1</v>
      </c>
      <c r="D131" s="159" t="s">
        <v>69</v>
      </c>
      <c r="E131" s="187" t="n">
        <v>171110.03</v>
      </c>
      <c r="F131" s="161"/>
      <c r="G131" s="190"/>
      <c r="H131" s="162"/>
      <c r="I131" s="191"/>
      <c r="J131" s="164"/>
    </row>
    <row r="132" s="156" customFormat="true" ht="12.75" hidden="false" customHeight="false" outlineLevel="0" collapsed="false">
      <c r="A132" s="148"/>
      <c r="B132" s="165"/>
      <c r="C132" s="42"/>
      <c r="D132" s="166" t="s">
        <v>54</v>
      </c>
      <c r="E132" s="160" t="s">
        <v>55</v>
      </c>
      <c r="F132" s="167" t="n">
        <f aca="false">E131</f>
        <v>171110.03</v>
      </c>
      <c r="G132" s="168" t="n">
        <v>2.5</v>
      </c>
      <c r="H132" s="133" t="n">
        <f aca="false">+G132*F132</f>
        <v>427775.075</v>
      </c>
      <c r="I132" s="186"/>
      <c r="J132" s="170"/>
    </row>
    <row r="133" s="156" customFormat="true" ht="12.75" hidden="false" customHeight="false" outlineLevel="0" collapsed="false">
      <c r="A133" s="148"/>
      <c r="B133" s="165"/>
      <c r="C133" s="42"/>
      <c r="D133" s="166" t="s">
        <v>4</v>
      </c>
      <c r="E133" s="160" t="s">
        <v>55</v>
      </c>
      <c r="F133" s="167" t="n">
        <f aca="false">F132</f>
        <v>171110.03</v>
      </c>
      <c r="G133" s="168" t="n">
        <v>3</v>
      </c>
      <c r="H133" s="133" t="n">
        <f aca="false">+G133*F133</f>
        <v>513330.09</v>
      </c>
      <c r="I133" s="186"/>
      <c r="J133" s="170"/>
    </row>
    <row r="134" s="156" customFormat="true" ht="12.75" hidden="false" customHeight="false" outlineLevel="0" collapsed="false">
      <c r="A134" s="148"/>
      <c r="B134" s="165"/>
      <c r="C134" s="42"/>
      <c r="D134" s="166" t="s">
        <v>56</v>
      </c>
      <c r="E134" s="172" t="n">
        <f aca="false">22*3</f>
        <v>66</v>
      </c>
      <c r="F134" s="167" t="n">
        <f aca="false">(F133/150)*2</f>
        <v>2281.46706666667</v>
      </c>
      <c r="G134" s="168" t="n">
        <f aca="false">+F138</f>
        <v>5.5</v>
      </c>
      <c r="H134" s="133" t="n">
        <f aca="false">+G134*F134*E134</f>
        <v>828172.5452</v>
      </c>
      <c r="I134" s="186"/>
      <c r="J134" s="170"/>
    </row>
    <row r="135" s="156" customFormat="true" ht="12.75" hidden="false" customHeight="false" outlineLevel="0" collapsed="false">
      <c r="A135" s="148"/>
      <c r="B135" s="165"/>
      <c r="C135" s="42"/>
      <c r="D135" s="166" t="s">
        <v>57</v>
      </c>
      <c r="E135" s="173" t="s">
        <v>58</v>
      </c>
      <c r="F135" s="167" t="n">
        <v>0</v>
      </c>
      <c r="G135" s="133" t="n">
        <f aca="false">$H$3</f>
        <v>66</v>
      </c>
      <c r="H135" s="133" t="n">
        <f aca="false">+G135*F135</f>
        <v>0</v>
      </c>
      <c r="I135" s="186"/>
      <c r="J135" s="170"/>
    </row>
    <row r="136" s="156" customFormat="true" ht="12.75" hidden="false" customHeight="false" outlineLevel="0" collapsed="false">
      <c r="A136" s="148"/>
      <c r="B136" s="165"/>
      <c r="C136" s="42"/>
      <c r="D136" s="166" t="s">
        <v>59</v>
      </c>
      <c r="E136" s="173" t="s">
        <v>58</v>
      </c>
      <c r="F136" s="167" t="n">
        <v>0</v>
      </c>
      <c r="G136" s="133" t="n">
        <f aca="false">$H$4</f>
        <v>103</v>
      </c>
      <c r="H136" s="133" t="n">
        <f aca="false">+G136*F136</f>
        <v>0</v>
      </c>
      <c r="I136" s="186"/>
      <c r="J136" s="170"/>
    </row>
    <row r="137" s="156" customFormat="true" ht="12.75" hidden="false" customHeight="false" outlineLevel="0" collapsed="false">
      <c r="A137" s="148"/>
      <c r="B137" s="165"/>
      <c r="C137" s="42"/>
      <c r="D137" s="166" t="s">
        <v>60</v>
      </c>
      <c r="E137" s="160" t="s">
        <v>61</v>
      </c>
      <c r="F137" s="167" t="n">
        <f aca="false">E131</f>
        <v>171110.03</v>
      </c>
      <c r="G137" s="133" t="n">
        <v>0</v>
      </c>
      <c r="H137" s="133" t="n">
        <f aca="false">+G137*F137</f>
        <v>0</v>
      </c>
      <c r="I137" s="186"/>
      <c r="J137" s="170"/>
    </row>
    <row r="138" s="156" customFormat="true" ht="12.75" hidden="false" customHeight="false" outlineLevel="0" collapsed="false">
      <c r="A138" s="148"/>
      <c r="B138" s="165"/>
      <c r="C138" s="42"/>
      <c r="D138" s="166" t="s">
        <v>62</v>
      </c>
      <c r="E138" s="173" t="s">
        <v>30</v>
      </c>
      <c r="F138" s="161" t="n">
        <f aca="false">+G132+G133+G137</f>
        <v>5.5</v>
      </c>
      <c r="G138" s="137" t="s">
        <v>63</v>
      </c>
      <c r="H138" s="133" t="n">
        <f aca="false">SUM(H132:H137)</f>
        <v>1769277.7102</v>
      </c>
      <c r="I138" s="169"/>
      <c r="J138" s="170"/>
    </row>
    <row r="139" s="156" customFormat="true" ht="12.75" hidden="false" customHeight="false" outlineLevel="0" collapsed="false">
      <c r="A139" s="148"/>
      <c r="B139" s="165"/>
      <c r="C139" s="42"/>
      <c r="D139" s="175" t="s">
        <v>64</v>
      </c>
      <c r="E139" s="173" t="s">
        <v>30</v>
      </c>
      <c r="F139" s="167"/>
      <c r="G139" s="188"/>
      <c r="H139" s="133" t="n">
        <f aca="false">H138*8.33%</f>
        <v>147380.83325966</v>
      </c>
      <c r="I139" s="177"/>
      <c r="J139" s="178"/>
    </row>
    <row r="140" s="156" customFormat="true" ht="12.75" hidden="false" customHeight="false" outlineLevel="0" collapsed="false">
      <c r="A140" s="148"/>
      <c r="B140" s="165"/>
      <c r="C140" s="42"/>
      <c r="D140" s="175" t="s">
        <v>65</v>
      </c>
      <c r="E140" s="167"/>
      <c r="F140" s="167"/>
      <c r="G140" s="180"/>
      <c r="H140" s="133" t="n">
        <f aca="false">H138*7%</f>
        <v>123849.439714</v>
      </c>
      <c r="I140" s="181" t="n">
        <v>0</v>
      </c>
      <c r="J140" s="182" t="n">
        <f aca="false">+(H138+H139+H140)*C131</f>
        <v>2040507.98317366</v>
      </c>
    </row>
    <row r="141" s="156" customFormat="true" ht="12.75" hidden="false" customHeight="false" outlineLevel="0" collapsed="false">
      <c r="A141" s="148"/>
      <c r="B141" s="165"/>
      <c r="C141" s="42"/>
      <c r="D141" s="183"/>
      <c r="E141" s="189"/>
      <c r="F141" s="161"/>
      <c r="G141" s="184"/>
      <c r="H141" s="185"/>
      <c r="I141" s="186"/>
      <c r="J141" s="170"/>
    </row>
    <row r="142" s="156" customFormat="true" ht="21" hidden="false" customHeight="true" outlineLevel="0" collapsed="false">
      <c r="A142" s="148"/>
      <c r="B142" s="165"/>
      <c r="C142" s="192" t="n">
        <f aca="false">SUM(C96:C139)</f>
        <v>5</v>
      </c>
      <c r="D142" s="183"/>
      <c r="E142" s="189"/>
      <c r="F142" s="161"/>
      <c r="G142" s="184"/>
      <c r="H142" s="185"/>
      <c r="I142" s="186"/>
      <c r="J142" s="170"/>
    </row>
    <row r="143" s="156" customFormat="true" ht="18" hidden="false" customHeight="true" outlineLevel="0" collapsed="false">
      <c r="A143" s="148"/>
      <c r="B143" s="165"/>
      <c r="C143" s="42"/>
      <c r="D143" s="183"/>
      <c r="E143" s="189"/>
      <c r="F143" s="161"/>
      <c r="G143" s="184"/>
      <c r="H143" s="185"/>
      <c r="I143" s="186"/>
      <c r="J143" s="170"/>
    </row>
    <row r="144" s="156" customFormat="true" ht="15" hidden="false" customHeight="true" outlineLevel="0" collapsed="false">
      <c r="A144" s="148"/>
      <c r="B144" s="149"/>
      <c r="C144" s="145"/>
      <c r="D144" s="157" t="s">
        <v>70</v>
      </c>
      <c r="E144" s="151"/>
      <c r="F144" s="152"/>
      <c r="G144" s="153"/>
      <c r="H144" s="158"/>
      <c r="I144" s="155"/>
      <c r="J144" s="155"/>
    </row>
    <row r="145" s="156" customFormat="true" ht="15" hidden="false" customHeight="true" outlineLevel="0" collapsed="false">
      <c r="A145" s="148"/>
      <c r="B145" s="149"/>
      <c r="C145" s="145" t="n">
        <v>1</v>
      </c>
      <c r="D145" s="159" t="s">
        <v>71</v>
      </c>
      <c r="E145" s="187" t="n">
        <v>171110.03</v>
      </c>
      <c r="F145" s="161"/>
      <c r="G145" s="25"/>
      <c r="H145" s="162"/>
      <c r="I145" s="163"/>
      <c r="J145" s="164"/>
    </row>
    <row r="146" s="156" customFormat="true" ht="12.75" hidden="false" customHeight="false" outlineLevel="0" collapsed="false">
      <c r="A146" s="148"/>
      <c r="B146" s="165"/>
      <c r="C146" s="42"/>
      <c r="D146" s="166" t="s">
        <v>54</v>
      </c>
      <c r="E146" s="160" t="s">
        <v>55</v>
      </c>
      <c r="F146" s="167" t="n">
        <f aca="false">E145</f>
        <v>171110.03</v>
      </c>
      <c r="G146" s="168" t="n">
        <v>2</v>
      </c>
      <c r="H146" s="133" t="n">
        <f aca="false">+G146*F146</f>
        <v>342220.06</v>
      </c>
      <c r="I146" s="169"/>
      <c r="J146" s="170"/>
    </row>
    <row r="147" s="156" customFormat="true" ht="12.75" hidden="false" customHeight="false" outlineLevel="0" collapsed="false">
      <c r="A147" s="148"/>
      <c r="B147" s="165"/>
      <c r="C147" s="42"/>
      <c r="D147" s="166" t="s">
        <v>4</v>
      </c>
      <c r="E147" s="160" t="s">
        <v>55</v>
      </c>
      <c r="F147" s="167" t="n">
        <f aca="false">F146</f>
        <v>171110.03</v>
      </c>
      <c r="G147" s="171" t="n">
        <v>3</v>
      </c>
      <c r="H147" s="133" t="n">
        <f aca="false">+G147*F147</f>
        <v>513330.09</v>
      </c>
      <c r="I147" s="169"/>
      <c r="J147" s="170"/>
    </row>
    <row r="148" s="156" customFormat="true" ht="12.75" hidden="false" customHeight="false" outlineLevel="0" collapsed="false">
      <c r="A148" s="148"/>
      <c r="B148" s="165"/>
      <c r="C148" s="42"/>
      <c r="D148" s="166" t="s">
        <v>56</v>
      </c>
      <c r="E148" s="172" t="n">
        <f aca="false">22*3</f>
        <v>66</v>
      </c>
      <c r="F148" s="167" t="n">
        <f aca="false">(F147/150)*2</f>
        <v>2281.46706666667</v>
      </c>
      <c r="G148" s="168" t="n">
        <f aca="false">+F152</f>
        <v>5</v>
      </c>
      <c r="H148" s="133" t="n">
        <f aca="false">+G148*F148*E148</f>
        <v>752884.132</v>
      </c>
      <c r="I148" s="169"/>
      <c r="J148" s="170"/>
    </row>
    <row r="149" s="156" customFormat="true" ht="12.75" hidden="false" customHeight="false" outlineLevel="0" collapsed="false">
      <c r="A149" s="148"/>
      <c r="B149" s="165"/>
      <c r="C149" s="42"/>
      <c r="D149" s="166" t="s">
        <v>57</v>
      </c>
      <c r="E149" s="173" t="s">
        <v>58</v>
      </c>
      <c r="F149" s="167" t="n">
        <v>0</v>
      </c>
      <c r="G149" s="133" t="n">
        <f aca="false">$H$3</f>
        <v>66</v>
      </c>
      <c r="H149" s="133" t="n">
        <f aca="false">+G149*F149</f>
        <v>0</v>
      </c>
      <c r="I149" s="169"/>
      <c r="J149" s="170"/>
    </row>
    <row r="150" s="156" customFormat="true" ht="12.75" hidden="false" customHeight="false" outlineLevel="0" collapsed="false">
      <c r="A150" s="148"/>
      <c r="B150" s="165"/>
      <c r="C150" s="42"/>
      <c r="D150" s="166" t="s">
        <v>59</v>
      </c>
      <c r="E150" s="173" t="s">
        <v>58</v>
      </c>
      <c r="F150" s="167" t="n">
        <v>0</v>
      </c>
      <c r="G150" s="133" t="n">
        <f aca="false">$H$4</f>
        <v>103</v>
      </c>
      <c r="H150" s="133" t="n">
        <f aca="false">+G150*F150</f>
        <v>0</v>
      </c>
      <c r="I150" s="169"/>
      <c r="J150" s="170"/>
    </row>
    <row r="151" s="156" customFormat="true" ht="12.75" hidden="false" customHeight="false" outlineLevel="0" collapsed="false">
      <c r="A151" s="148"/>
      <c r="B151" s="165"/>
      <c r="C151" s="42"/>
      <c r="D151" s="166" t="s">
        <v>60</v>
      </c>
      <c r="E151" s="160" t="s">
        <v>61</v>
      </c>
      <c r="F151" s="167" t="n">
        <f aca="false">E145</f>
        <v>171110.03</v>
      </c>
      <c r="G151" s="133" t="n">
        <v>0</v>
      </c>
      <c r="H151" s="133" t="n">
        <f aca="false">+G151*F151</f>
        <v>0</v>
      </c>
      <c r="I151" s="169"/>
      <c r="J151" s="170"/>
    </row>
    <row r="152" s="156" customFormat="true" ht="12.75" hidden="false" customHeight="false" outlineLevel="0" collapsed="false">
      <c r="A152" s="148"/>
      <c r="B152" s="165"/>
      <c r="C152" s="42"/>
      <c r="D152" s="166" t="s">
        <v>62</v>
      </c>
      <c r="E152" s="173" t="s">
        <v>30</v>
      </c>
      <c r="F152" s="161" t="n">
        <f aca="false">+G146+G147+G151</f>
        <v>5</v>
      </c>
      <c r="G152" s="137" t="s">
        <v>63</v>
      </c>
      <c r="H152" s="133" t="n">
        <f aca="false">SUM(H146:H151)</f>
        <v>1608434.282</v>
      </c>
      <c r="I152" s="169"/>
      <c r="J152" s="170"/>
    </row>
    <row r="153" s="156" customFormat="true" ht="12.75" hidden="false" customHeight="false" outlineLevel="0" collapsed="false">
      <c r="A153" s="148"/>
      <c r="B153" s="165"/>
      <c r="C153" s="42"/>
      <c r="D153" s="175" t="s">
        <v>64</v>
      </c>
      <c r="E153" s="173" t="s">
        <v>30</v>
      </c>
      <c r="F153" s="167"/>
      <c r="G153" s="188"/>
      <c r="H153" s="133" t="n">
        <f aca="false">H152*8.33%</f>
        <v>133982.5756906</v>
      </c>
      <c r="I153" s="177"/>
      <c r="J153" s="178"/>
    </row>
    <row r="154" s="156" customFormat="true" ht="12.75" hidden="false" customHeight="false" outlineLevel="0" collapsed="false">
      <c r="A154" s="148"/>
      <c r="B154" s="165"/>
      <c r="C154" s="42"/>
      <c r="D154" s="175" t="s">
        <v>65</v>
      </c>
      <c r="E154" s="167"/>
      <c r="F154" s="167"/>
      <c r="G154" s="180"/>
      <c r="H154" s="133" t="n">
        <f aca="false">H152*7%</f>
        <v>112590.39974</v>
      </c>
      <c r="I154" s="181" t="n">
        <v>0</v>
      </c>
      <c r="J154" s="182" t="n">
        <f aca="false">+(H152+H153+H154)*C145</f>
        <v>1855007.2574306</v>
      </c>
    </row>
    <row r="155" s="156" customFormat="true" ht="12.75" hidden="false" customHeight="false" outlineLevel="0" collapsed="false">
      <c r="A155" s="148"/>
      <c r="B155" s="165"/>
      <c r="C155" s="42"/>
      <c r="D155" s="183"/>
      <c r="E155" s="119"/>
      <c r="F155" s="161"/>
      <c r="G155" s="184"/>
      <c r="H155" s="185"/>
      <c r="I155" s="186"/>
      <c r="J155" s="170"/>
    </row>
    <row r="156" s="156" customFormat="true" ht="15" hidden="false" customHeight="true" outlineLevel="0" collapsed="false">
      <c r="A156" s="148"/>
      <c r="B156" s="149"/>
      <c r="C156" s="145" t="n">
        <v>2</v>
      </c>
      <c r="D156" s="159" t="s">
        <v>72</v>
      </c>
      <c r="E156" s="187" t="n">
        <v>101647.54</v>
      </c>
      <c r="F156" s="161"/>
      <c r="G156" s="190"/>
      <c r="H156" s="162"/>
      <c r="I156" s="191"/>
      <c r="J156" s="164"/>
    </row>
    <row r="157" s="156" customFormat="true" ht="12.75" hidden="false" customHeight="false" outlineLevel="0" collapsed="false">
      <c r="A157" s="148"/>
      <c r="B157" s="165"/>
      <c r="C157" s="42"/>
      <c r="D157" s="166" t="s">
        <v>54</v>
      </c>
      <c r="E157" s="160" t="s">
        <v>55</v>
      </c>
      <c r="F157" s="167" t="n">
        <f aca="false">E156</f>
        <v>101647.54</v>
      </c>
      <c r="G157" s="168" t="n">
        <v>1.5</v>
      </c>
      <c r="H157" s="133" t="n">
        <f aca="false">+G157*F157</f>
        <v>152471.31</v>
      </c>
      <c r="I157" s="186"/>
      <c r="J157" s="170"/>
    </row>
    <row r="158" s="156" customFormat="true" ht="12.75" hidden="false" customHeight="false" outlineLevel="0" collapsed="false">
      <c r="A158" s="148"/>
      <c r="B158" s="165"/>
      <c r="C158" s="42"/>
      <c r="D158" s="166" t="s">
        <v>4</v>
      </c>
      <c r="E158" s="160" t="s">
        <v>55</v>
      </c>
      <c r="F158" s="167" t="n">
        <f aca="false">F157</f>
        <v>101647.54</v>
      </c>
      <c r="G158" s="171" t="n">
        <v>3</v>
      </c>
      <c r="H158" s="133" t="n">
        <f aca="false">+G158*F158</f>
        <v>304942.62</v>
      </c>
      <c r="I158" s="186"/>
      <c r="J158" s="170"/>
    </row>
    <row r="159" s="156" customFormat="true" ht="12.75" hidden="false" customHeight="false" outlineLevel="0" collapsed="false">
      <c r="A159" s="148"/>
      <c r="B159" s="165"/>
      <c r="C159" s="42"/>
      <c r="D159" s="166" t="s">
        <v>56</v>
      </c>
      <c r="E159" s="172" t="n">
        <f aca="false">22*3</f>
        <v>66</v>
      </c>
      <c r="F159" s="167" t="n">
        <f aca="false">(F157/150)*2</f>
        <v>1355.30053333333</v>
      </c>
      <c r="G159" s="168" t="n">
        <f aca="false">+F163</f>
        <v>4.5</v>
      </c>
      <c r="H159" s="133" t="n">
        <f aca="false">+G159*F159*E159</f>
        <v>402524.2584</v>
      </c>
      <c r="I159" s="186"/>
      <c r="J159" s="170"/>
    </row>
    <row r="160" s="156" customFormat="true" ht="12.75" hidden="false" customHeight="false" outlineLevel="0" collapsed="false">
      <c r="A160" s="148"/>
      <c r="B160" s="165"/>
      <c r="C160" s="42"/>
      <c r="D160" s="166" t="s">
        <v>57</v>
      </c>
      <c r="E160" s="173" t="s">
        <v>58</v>
      </c>
      <c r="F160" s="167" t="n">
        <v>0</v>
      </c>
      <c r="G160" s="133" t="n">
        <f aca="false">$H$3</f>
        <v>66</v>
      </c>
      <c r="H160" s="133" t="n">
        <f aca="false">+G160*F160</f>
        <v>0</v>
      </c>
      <c r="I160" s="186"/>
      <c r="J160" s="170"/>
    </row>
    <row r="161" s="156" customFormat="true" ht="12.75" hidden="false" customHeight="false" outlineLevel="0" collapsed="false">
      <c r="A161" s="148"/>
      <c r="B161" s="165"/>
      <c r="C161" s="42"/>
      <c r="D161" s="166" t="s">
        <v>59</v>
      </c>
      <c r="E161" s="173" t="s">
        <v>58</v>
      </c>
      <c r="F161" s="167" t="n">
        <v>0</v>
      </c>
      <c r="G161" s="133" t="n">
        <f aca="false">$H$4</f>
        <v>103</v>
      </c>
      <c r="H161" s="133" t="n">
        <f aca="false">+G161*F161</f>
        <v>0</v>
      </c>
      <c r="I161" s="186"/>
      <c r="J161" s="170"/>
    </row>
    <row r="162" s="156" customFormat="true" ht="12.75" hidden="false" customHeight="false" outlineLevel="0" collapsed="false">
      <c r="A162" s="148"/>
      <c r="B162" s="165"/>
      <c r="C162" s="42"/>
      <c r="D162" s="166" t="s">
        <v>60</v>
      </c>
      <c r="E162" s="160" t="s">
        <v>61</v>
      </c>
      <c r="F162" s="167" t="n">
        <f aca="false">E156</f>
        <v>101647.54</v>
      </c>
      <c r="G162" s="133" t="n">
        <v>0</v>
      </c>
      <c r="H162" s="133" t="n">
        <f aca="false">+G162*F162</f>
        <v>0</v>
      </c>
      <c r="I162" s="186"/>
      <c r="J162" s="170"/>
    </row>
    <row r="163" s="156" customFormat="true" ht="12.75" hidden="false" customHeight="false" outlineLevel="0" collapsed="false">
      <c r="A163" s="148"/>
      <c r="B163" s="165"/>
      <c r="C163" s="42"/>
      <c r="D163" s="166" t="s">
        <v>62</v>
      </c>
      <c r="E163" s="173" t="s">
        <v>30</v>
      </c>
      <c r="F163" s="161" t="n">
        <f aca="false">+G157+G158+G162</f>
        <v>4.5</v>
      </c>
      <c r="G163" s="137" t="s">
        <v>63</v>
      </c>
      <c r="H163" s="133" t="n">
        <f aca="false">SUM(H157:H162)</f>
        <v>859938.1884</v>
      </c>
      <c r="I163" s="169"/>
      <c r="J163" s="170"/>
    </row>
    <row r="164" s="156" customFormat="true" ht="12.75" hidden="false" customHeight="false" outlineLevel="0" collapsed="false">
      <c r="A164" s="148"/>
      <c r="B164" s="165"/>
      <c r="C164" s="42"/>
      <c r="D164" s="175" t="s">
        <v>64</v>
      </c>
      <c r="E164" s="173" t="s">
        <v>30</v>
      </c>
      <c r="F164" s="167"/>
      <c r="G164" s="188"/>
      <c r="H164" s="133" t="n">
        <f aca="false">H163*8.33%</f>
        <v>71632.85109372</v>
      </c>
      <c r="I164" s="177"/>
      <c r="J164" s="178"/>
    </row>
    <row r="165" s="156" customFormat="true" ht="12.75" hidden="false" customHeight="false" outlineLevel="0" collapsed="false">
      <c r="A165" s="148"/>
      <c r="B165" s="165"/>
      <c r="C165" s="42"/>
      <c r="D165" s="175" t="s">
        <v>65</v>
      </c>
      <c r="E165" s="167"/>
      <c r="F165" s="167"/>
      <c r="G165" s="180"/>
      <c r="H165" s="133" t="n">
        <f aca="false">H163*7%</f>
        <v>60195.673188</v>
      </c>
      <c r="I165" s="181" t="n">
        <v>0</v>
      </c>
      <c r="J165" s="182" t="n">
        <f aca="false">+(H163+H164+H165)*C156</f>
        <v>1983533.42536344</v>
      </c>
    </row>
    <row r="166" s="156" customFormat="true" ht="12.75" hidden="false" customHeight="false" outlineLevel="0" collapsed="false">
      <c r="A166" s="148"/>
      <c r="B166" s="165"/>
      <c r="C166" s="42"/>
      <c r="D166" s="183"/>
      <c r="E166" s="119"/>
      <c r="F166" s="161"/>
      <c r="G166" s="184"/>
      <c r="H166" s="185"/>
      <c r="I166" s="186"/>
      <c r="J166" s="170"/>
    </row>
    <row r="167" s="156" customFormat="true" ht="15" hidden="false" customHeight="true" outlineLevel="0" collapsed="false">
      <c r="A167" s="148"/>
      <c r="B167" s="149"/>
      <c r="C167" s="145" t="n">
        <v>1</v>
      </c>
      <c r="D167" s="159" t="s">
        <v>73</v>
      </c>
      <c r="E167" s="187" t="n">
        <v>171110.03</v>
      </c>
      <c r="F167" s="161"/>
      <c r="G167" s="25"/>
      <c r="H167" s="162"/>
      <c r="I167" s="163"/>
      <c r="J167" s="164"/>
    </row>
    <row r="168" s="156" customFormat="true" ht="12.75" hidden="false" customHeight="false" outlineLevel="0" collapsed="false">
      <c r="A168" s="148"/>
      <c r="B168" s="165"/>
      <c r="C168" s="42"/>
      <c r="D168" s="166" t="s">
        <v>54</v>
      </c>
      <c r="E168" s="160" t="s">
        <v>55</v>
      </c>
      <c r="F168" s="167" t="n">
        <f aca="false">E167</f>
        <v>171110.03</v>
      </c>
      <c r="G168" s="168" t="n">
        <v>2.5</v>
      </c>
      <c r="H168" s="133" t="n">
        <f aca="false">+G168*F168</f>
        <v>427775.075</v>
      </c>
      <c r="I168" s="169"/>
      <c r="J168" s="170"/>
    </row>
    <row r="169" s="156" customFormat="true" ht="12.75" hidden="false" customHeight="false" outlineLevel="0" collapsed="false">
      <c r="A169" s="148"/>
      <c r="B169" s="165"/>
      <c r="C169" s="42"/>
      <c r="D169" s="166" t="s">
        <v>4</v>
      </c>
      <c r="E169" s="160" t="s">
        <v>55</v>
      </c>
      <c r="F169" s="167" t="n">
        <f aca="false">F168</f>
        <v>171110.03</v>
      </c>
      <c r="G169" s="171" t="n">
        <v>3</v>
      </c>
      <c r="H169" s="133" t="n">
        <f aca="false">+G169*F169</f>
        <v>513330.09</v>
      </c>
      <c r="I169" s="169"/>
      <c r="J169" s="170"/>
    </row>
    <row r="170" s="156" customFormat="true" ht="12.75" hidden="false" customHeight="false" outlineLevel="0" collapsed="false">
      <c r="A170" s="148"/>
      <c r="B170" s="165"/>
      <c r="C170" s="42"/>
      <c r="D170" s="166" t="s">
        <v>56</v>
      </c>
      <c r="E170" s="172" t="n">
        <f aca="false">22*3</f>
        <v>66</v>
      </c>
      <c r="F170" s="167" t="n">
        <f aca="false">(F169/150)*2</f>
        <v>2281.46706666667</v>
      </c>
      <c r="G170" s="168" t="n">
        <f aca="false">+F174</f>
        <v>5.5</v>
      </c>
      <c r="H170" s="133" t="n">
        <f aca="false">+G170*F170*E170</f>
        <v>828172.5452</v>
      </c>
      <c r="I170" s="169"/>
      <c r="J170" s="170"/>
    </row>
    <row r="171" s="156" customFormat="true" ht="12.75" hidden="false" customHeight="false" outlineLevel="0" collapsed="false">
      <c r="A171" s="148"/>
      <c r="B171" s="165"/>
      <c r="C171" s="42"/>
      <c r="D171" s="166" t="s">
        <v>57</v>
      </c>
      <c r="E171" s="173" t="s">
        <v>58</v>
      </c>
      <c r="F171" s="167" t="n">
        <v>0</v>
      </c>
      <c r="G171" s="133" t="n">
        <f aca="false">$H$3</f>
        <v>66</v>
      </c>
      <c r="H171" s="133" t="n">
        <f aca="false">+G171*F171</f>
        <v>0</v>
      </c>
      <c r="I171" s="169"/>
      <c r="J171" s="170"/>
    </row>
    <row r="172" s="156" customFormat="true" ht="12.75" hidden="false" customHeight="false" outlineLevel="0" collapsed="false">
      <c r="A172" s="148"/>
      <c r="B172" s="165"/>
      <c r="C172" s="42"/>
      <c r="D172" s="166" t="s">
        <v>59</v>
      </c>
      <c r="E172" s="173" t="s">
        <v>58</v>
      </c>
      <c r="F172" s="167" t="n">
        <v>0</v>
      </c>
      <c r="G172" s="133" t="n">
        <f aca="false">$H$4</f>
        <v>103</v>
      </c>
      <c r="H172" s="133" t="n">
        <f aca="false">+G172*F172</f>
        <v>0</v>
      </c>
      <c r="I172" s="169"/>
      <c r="J172" s="170"/>
    </row>
    <row r="173" s="156" customFormat="true" ht="12.75" hidden="false" customHeight="false" outlineLevel="0" collapsed="false">
      <c r="A173" s="148"/>
      <c r="B173" s="165"/>
      <c r="C173" s="42"/>
      <c r="D173" s="166" t="s">
        <v>60</v>
      </c>
      <c r="E173" s="160" t="s">
        <v>61</v>
      </c>
      <c r="F173" s="167" t="n">
        <f aca="false">E167</f>
        <v>171110.03</v>
      </c>
      <c r="G173" s="133" t="n">
        <v>0</v>
      </c>
      <c r="H173" s="133" t="n">
        <f aca="false">+G173*F173</f>
        <v>0</v>
      </c>
      <c r="I173" s="169"/>
      <c r="J173" s="170"/>
    </row>
    <row r="174" s="156" customFormat="true" ht="12.75" hidden="false" customHeight="false" outlineLevel="0" collapsed="false">
      <c r="A174" s="148"/>
      <c r="B174" s="165"/>
      <c r="C174" s="42"/>
      <c r="D174" s="166" t="s">
        <v>62</v>
      </c>
      <c r="E174" s="173" t="s">
        <v>30</v>
      </c>
      <c r="F174" s="161" t="n">
        <f aca="false">+G168+G169+G173</f>
        <v>5.5</v>
      </c>
      <c r="G174" s="137" t="s">
        <v>63</v>
      </c>
      <c r="H174" s="133" t="n">
        <f aca="false">SUM(H168:H173)</f>
        <v>1769277.7102</v>
      </c>
      <c r="I174" s="169"/>
      <c r="J174" s="170"/>
    </row>
    <row r="175" s="156" customFormat="true" ht="12.75" hidden="false" customHeight="false" outlineLevel="0" collapsed="false">
      <c r="A175" s="148"/>
      <c r="B175" s="165"/>
      <c r="C175" s="42"/>
      <c r="D175" s="175" t="s">
        <v>64</v>
      </c>
      <c r="E175" s="173" t="s">
        <v>30</v>
      </c>
      <c r="F175" s="167"/>
      <c r="G175" s="188"/>
      <c r="H175" s="133" t="n">
        <f aca="false">H174*8.33%</f>
        <v>147380.83325966</v>
      </c>
      <c r="I175" s="177"/>
      <c r="J175" s="178"/>
    </row>
    <row r="176" s="156" customFormat="true" ht="12.75" hidden="false" customHeight="false" outlineLevel="0" collapsed="false">
      <c r="A176" s="148"/>
      <c r="B176" s="165"/>
      <c r="C176" s="42"/>
      <c r="D176" s="175" t="s">
        <v>65</v>
      </c>
      <c r="E176" s="173" t="s">
        <v>30</v>
      </c>
      <c r="F176" s="167"/>
      <c r="G176" s="180"/>
      <c r="H176" s="133" t="n">
        <f aca="false">H174*7%</f>
        <v>123849.439714</v>
      </c>
      <c r="I176" s="181" t="n">
        <v>0</v>
      </c>
      <c r="J176" s="182" t="n">
        <f aca="false">+(H174+H175+H176)*C167</f>
        <v>2040507.98317366</v>
      </c>
    </row>
    <row r="177" s="156" customFormat="true" ht="12.75" hidden="false" customHeight="false" outlineLevel="0" collapsed="false">
      <c r="A177" s="148"/>
      <c r="B177" s="165"/>
      <c r="C177" s="42"/>
      <c r="D177" s="183"/>
      <c r="E177" s="119"/>
      <c r="F177" s="161"/>
      <c r="G177" s="184"/>
      <c r="H177" s="185"/>
      <c r="I177" s="186"/>
      <c r="J177" s="170"/>
    </row>
    <row r="178" s="156" customFormat="true" ht="15" hidden="false" customHeight="true" outlineLevel="0" collapsed="false">
      <c r="A178" s="148"/>
      <c r="B178" s="149"/>
      <c r="C178" s="145" t="n">
        <v>1</v>
      </c>
      <c r="D178" s="159" t="s">
        <v>74</v>
      </c>
      <c r="E178" s="187" t="n">
        <v>101647.54</v>
      </c>
      <c r="F178" s="161"/>
      <c r="G178" s="190"/>
      <c r="H178" s="162"/>
      <c r="I178" s="191"/>
      <c r="J178" s="164"/>
    </row>
    <row r="179" s="156" customFormat="true" ht="12.75" hidden="false" customHeight="false" outlineLevel="0" collapsed="false">
      <c r="A179" s="148"/>
      <c r="B179" s="165"/>
      <c r="C179" s="42"/>
      <c r="D179" s="166" t="s">
        <v>54</v>
      </c>
      <c r="E179" s="187" t="s">
        <v>55</v>
      </c>
      <c r="F179" s="167" t="n">
        <f aca="false">E178</f>
        <v>101647.54</v>
      </c>
      <c r="G179" s="168" t="n">
        <v>2.5</v>
      </c>
      <c r="H179" s="133" t="n">
        <f aca="false">+G179*F179</f>
        <v>254118.85</v>
      </c>
      <c r="I179" s="186"/>
      <c r="J179" s="170"/>
    </row>
    <row r="180" s="156" customFormat="true" ht="12.75" hidden="false" customHeight="false" outlineLevel="0" collapsed="false">
      <c r="A180" s="148"/>
      <c r="B180" s="165"/>
      <c r="C180" s="42"/>
      <c r="D180" s="166" t="s">
        <v>4</v>
      </c>
      <c r="E180" s="160" t="s">
        <v>55</v>
      </c>
      <c r="F180" s="167" t="n">
        <f aca="false">F179</f>
        <v>101647.54</v>
      </c>
      <c r="G180" s="171" t="n">
        <v>3</v>
      </c>
      <c r="H180" s="133" t="n">
        <f aca="false">+G180*F180</f>
        <v>304942.62</v>
      </c>
      <c r="I180" s="186"/>
      <c r="J180" s="170"/>
    </row>
    <row r="181" s="156" customFormat="true" ht="12.75" hidden="false" customHeight="false" outlineLevel="0" collapsed="false">
      <c r="A181" s="148"/>
      <c r="B181" s="165"/>
      <c r="C181" s="42"/>
      <c r="D181" s="166" t="s">
        <v>56</v>
      </c>
      <c r="E181" s="172" t="n">
        <f aca="false">22*3</f>
        <v>66</v>
      </c>
      <c r="F181" s="167" t="n">
        <f aca="false">(F180/150)*2</f>
        <v>1355.30053333333</v>
      </c>
      <c r="G181" s="168" t="n">
        <f aca="false">+F185</f>
        <v>5.5</v>
      </c>
      <c r="H181" s="133" t="n">
        <f aca="false">+G181*F181*E181</f>
        <v>491974.0936</v>
      </c>
      <c r="I181" s="186"/>
      <c r="J181" s="170"/>
    </row>
    <row r="182" s="156" customFormat="true" ht="12.75" hidden="false" customHeight="false" outlineLevel="0" collapsed="false">
      <c r="A182" s="148"/>
      <c r="B182" s="165"/>
      <c r="C182" s="42"/>
      <c r="D182" s="166" t="s">
        <v>57</v>
      </c>
      <c r="E182" s="173" t="s">
        <v>58</v>
      </c>
      <c r="F182" s="167" t="n">
        <v>0</v>
      </c>
      <c r="G182" s="133" t="n">
        <f aca="false">$H$3</f>
        <v>66</v>
      </c>
      <c r="H182" s="133" t="n">
        <f aca="false">+G182*F182</f>
        <v>0</v>
      </c>
      <c r="I182" s="186"/>
      <c r="J182" s="170"/>
    </row>
    <row r="183" s="156" customFormat="true" ht="12.75" hidden="false" customHeight="false" outlineLevel="0" collapsed="false">
      <c r="A183" s="148"/>
      <c r="B183" s="165"/>
      <c r="C183" s="42"/>
      <c r="D183" s="166" t="s">
        <v>59</v>
      </c>
      <c r="E183" s="173" t="s">
        <v>58</v>
      </c>
      <c r="F183" s="167" t="n">
        <v>0</v>
      </c>
      <c r="G183" s="133" t="n">
        <f aca="false">$H$4</f>
        <v>103</v>
      </c>
      <c r="H183" s="133" t="n">
        <f aca="false">+G183*F183</f>
        <v>0</v>
      </c>
      <c r="I183" s="186"/>
      <c r="J183" s="170"/>
    </row>
    <row r="184" s="156" customFormat="true" ht="12.75" hidden="false" customHeight="false" outlineLevel="0" collapsed="false">
      <c r="A184" s="148"/>
      <c r="B184" s="165"/>
      <c r="C184" s="42"/>
      <c r="D184" s="166" t="s">
        <v>60</v>
      </c>
      <c r="E184" s="160" t="s">
        <v>61</v>
      </c>
      <c r="F184" s="167" t="n">
        <f aca="false">E178</f>
        <v>101647.54</v>
      </c>
      <c r="G184" s="133" t="n">
        <v>0</v>
      </c>
      <c r="H184" s="133" t="n">
        <f aca="false">+G184*F184</f>
        <v>0</v>
      </c>
      <c r="I184" s="186"/>
      <c r="J184" s="170"/>
    </row>
    <row r="185" s="156" customFormat="true" ht="12.75" hidden="false" customHeight="false" outlineLevel="0" collapsed="false">
      <c r="A185" s="148"/>
      <c r="B185" s="165"/>
      <c r="C185" s="42"/>
      <c r="D185" s="166" t="s">
        <v>62</v>
      </c>
      <c r="E185" s="173" t="s">
        <v>30</v>
      </c>
      <c r="F185" s="161" t="n">
        <f aca="false">+G179+G180+G184</f>
        <v>5.5</v>
      </c>
      <c r="G185" s="137" t="s">
        <v>63</v>
      </c>
      <c r="H185" s="133" t="n">
        <f aca="false">SUM(H179:H184)</f>
        <v>1051035.5636</v>
      </c>
      <c r="I185" s="169"/>
      <c r="J185" s="170"/>
    </row>
    <row r="186" s="156" customFormat="true" ht="12.75" hidden="false" customHeight="false" outlineLevel="0" collapsed="false">
      <c r="A186" s="148"/>
      <c r="B186" s="165"/>
      <c r="C186" s="42"/>
      <c r="D186" s="175" t="s">
        <v>64</v>
      </c>
      <c r="E186" s="173" t="s">
        <v>30</v>
      </c>
      <c r="F186" s="167"/>
      <c r="G186" s="188"/>
      <c r="H186" s="133" t="n">
        <f aca="false">H185*8.33%</f>
        <v>87551.26244788</v>
      </c>
      <c r="I186" s="177"/>
      <c r="J186" s="178"/>
    </row>
    <row r="187" s="156" customFormat="true" ht="12.75" hidden="false" customHeight="false" outlineLevel="0" collapsed="false">
      <c r="A187" s="148"/>
      <c r="B187" s="165"/>
      <c r="C187" s="42"/>
      <c r="D187" s="175" t="s">
        <v>65</v>
      </c>
      <c r="E187" s="173" t="s">
        <v>30</v>
      </c>
      <c r="F187" s="167"/>
      <c r="G187" s="180"/>
      <c r="H187" s="133" t="n">
        <f aca="false">H185*7%</f>
        <v>73572.489452</v>
      </c>
      <c r="I187" s="181" t="n">
        <v>0</v>
      </c>
      <c r="J187" s="182" t="n">
        <f aca="false">+(H185+H186+H187)*C178</f>
        <v>1212159.31549988</v>
      </c>
    </row>
    <row r="188" s="156" customFormat="true" ht="12.75" hidden="false" customHeight="false" outlineLevel="0" collapsed="false">
      <c r="A188" s="148"/>
      <c r="B188" s="165"/>
      <c r="C188" s="42"/>
      <c r="D188" s="183"/>
      <c r="E188" s="119"/>
      <c r="F188" s="161"/>
      <c r="G188" s="184"/>
      <c r="H188" s="185"/>
      <c r="I188" s="186"/>
      <c r="J188" s="170"/>
    </row>
    <row r="189" s="156" customFormat="true" ht="15" hidden="false" customHeight="true" outlineLevel="0" collapsed="false">
      <c r="A189" s="148"/>
      <c r="B189" s="149"/>
      <c r="C189" s="145" t="n">
        <v>1</v>
      </c>
      <c r="D189" s="159" t="s">
        <v>75</v>
      </c>
      <c r="E189" s="187" t="n">
        <v>171110.03</v>
      </c>
      <c r="F189" s="161"/>
      <c r="G189" s="190"/>
      <c r="H189" s="162"/>
      <c r="I189" s="191"/>
      <c r="J189" s="164"/>
    </row>
    <row r="190" s="156" customFormat="true" ht="12.75" hidden="false" customHeight="false" outlineLevel="0" collapsed="false">
      <c r="A190" s="148"/>
      <c r="B190" s="165"/>
      <c r="C190" s="42"/>
      <c r="D190" s="166" t="s">
        <v>54</v>
      </c>
      <c r="E190" s="160" t="s">
        <v>55</v>
      </c>
      <c r="F190" s="167" t="n">
        <f aca="false">E189</f>
        <v>171110.03</v>
      </c>
      <c r="G190" s="168" t="n">
        <v>1.5</v>
      </c>
      <c r="H190" s="133" t="n">
        <f aca="false">+G190*F190</f>
        <v>256665.045</v>
      </c>
      <c r="I190" s="186"/>
      <c r="J190" s="170"/>
    </row>
    <row r="191" s="156" customFormat="true" ht="12.75" hidden="false" customHeight="false" outlineLevel="0" collapsed="false">
      <c r="A191" s="148"/>
      <c r="B191" s="165"/>
      <c r="C191" s="42"/>
      <c r="D191" s="166" t="s">
        <v>4</v>
      </c>
      <c r="E191" s="160" t="s">
        <v>55</v>
      </c>
      <c r="F191" s="167" t="n">
        <f aca="false">F190</f>
        <v>171110.03</v>
      </c>
      <c r="G191" s="171" t="n">
        <v>3</v>
      </c>
      <c r="H191" s="133" t="n">
        <f aca="false">+G191*F191</f>
        <v>513330.09</v>
      </c>
      <c r="I191" s="186"/>
      <c r="J191" s="170"/>
    </row>
    <row r="192" s="156" customFormat="true" ht="12.75" hidden="false" customHeight="false" outlineLevel="0" collapsed="false">
      <c r="A192" s="148"/>
      <c r="B192" s="165"/>
      <c r="C192" s="42"/>
      <c r="D192" s="166" t="s">
        <v>56</v>
      </c>
      <c r="E192" s="172" t="n">
        <f aca="false">22*3</f>
        <v>66</v>
      </c>
      <c r="F192" s="167" t="n">
        <f aca="false">(F191/150)*2</f>
        <v>2281.46706666667</v>
      </c>
      <c r="G192" s="168" t="n">
        <f aca="false">+F196</f>
        <v>4.5</v>
      </c>
      <c r="H192" s="133" t="n">
        <f aca="false">+G192*F192*E192</f>
        <v>677595.7188</v>
      </c>
      <c r="I192" s="186"/>
      <c r="J192" s="170"/>
    </row>
    <row r="193" s="156" customFormat="true" ht="12.75" hidden="false" customHeight="false" outlineLevel="0" collapsed="false">
      <c r="A193" s="148"/>
      <c r="B193" s="165"/>
      <c r="C193" s="42"/>
      <c r="D193" s="166" t="s">
        <v>57</v>
      </c>
      <c r="E193" s="173" t="s">
        <v>58</v>
      </c>
      <c r="F193" s="167" t="n">
        <v>0</v>
      </c>
      <c r="G193" s="133"/>
      <c r="H193" s="133" t="n">
        <f aca="false">+G193*F193</f>
        <v>0</v>
      </c>
      <c r="I193" s="186"/>
      <c r="J193" s="170"/>
    </row>
    <row r="194" s="156" customFormat="true" ht="12.75" hidden="false" customHeight="false" outlineLevel="0" collapsed="false">
      <c r="A194" s="148"/>
      <c r="B194" s="165"/>
      <c r="C194" s="42"/>
      <c r="D194" s="166" t="s">
        <v>59</v>
      </c>
      <c r="E194" s="173" t="s">
        <v>58</v>
      </c>
      <c r="F194" s="167" t="n">
        <v>0</v>
      </c>
      <c r="G194" s="133"/>
      <c r="H194" s="133" t="n">
        <f aca="false">+G194*F194</f>
        <v>0</v>
      </c>
      <c r="I194" s="186"/>
      <c r="J194" s="170"/>
    </row>
    <row r="195" s="156" customFormat="true" ht="12.75" hidden="false" customHeight="false" outlineLevel="0" collapsed="false">
      <c r="A195" s="148"/>
      <c r="B195" s="165"/>
      <c r="C195" s="42"/>
      <c r="D195" s="166" t="s">
        <v>60</v>
      </c>
      <c r="E195" s="160" t="s">
        <v>61</v>
      </c>
      <c r="F195" s="167" t="n">
        <f aca="false">E189</f>
        <v>171110.03</v>
      </c>
      <c r="G195" s="133" t="n">
        <v>0</v>
      </c>
      <c r="H195" s="133" t="n">
        <f aca="false">+G195*F195</f>
        <v>0</v>
      </c>
      <c r="I195" s="186"/>
      <c r="J195" s="170"/>
    </row>
    <row r="196" s="156" customFormat="true" ht="12.75" hidden="false" customHeight="false" outlineLevel="0" collapsed="false">
      <c r="A196" s="148"/>
      <c r="B196" s="165"/>
      <c r="C196" s="42"/>
      <c r="D196" s="166" t="s">
        <v>62</v>
      </c>
      <c r="E196" s="173" t="s">
        <v>30</v>
      </c>
      <c r="F196" s="161" t="n">
        <f aca="false">+G190+G191+G195</f>
        <v>4.5</v>
      </c>
      <c r="G196" s="137" t="s">
        <v>63</v>
      </c>
      <c r="H196" s="133" t="n">
        <f aca="false">SUM(H190:H195)</f>
        <v>1447590.8538</v>
      </c>
      <c r="I196" s="169"/>
      <c r="J196" s="170"/>
    </row>
    <row r="197" s="156" customFormat="true" ht="12.75" hidden="false" customHeight="false" outlineLevel="0" collapsed="false">
      <c r="A197" s="148"/>
      <c r="B197" s="165"/>
      <c r="C197" s="42"/>
      <c r="D197" s="175" t="s">
        <v>64</v>
      </c>
      <c r="E197" s="173" t="s">
        <v>30</v>
      </c>
      <c r="F197" s="167"/>
      <c r="G197" s="188"/>
      <c r="H197" s="133" t="n">
        <f aca="false">H196*8.33%</f>
        <v>120584.31812154</v>
      </c>
      <c r="I197" s="177"/>
      <c r="J197" s="178"/>
    </row>
    <row r="198" s="156" customFormat="true" ht="12.75" hidden="false" customHeight="false" outlineLevel="0" collapsed="false">
      <c r="A198" s="148"/>
      <c r="B198" s="165"/>
      <c r="C198" s="42"/>
      <c r="D198" s="175" t="s">
        <v>65</v>
      </c>
      <c r="E198" s="167"/>
      <c r="F198" s="167"/>
      <c r="G198" s="180"/>
      <c r="H198" s="133" t="n">
        <f aca="false">H196*7%</f>
        <v>101331.359766</v>
      </c>
      <c r="I198" s="181" t="n">
        <v>0</v>
      </c>
      <c r="J198" s="182" t="n">
        <f aca="false">+(H196+H197+H198)*C189</f>
        <v>1669506.53168754</v>
      </c>
    </row>
    <row r="199" s="156" customFormat="true" ht="12.75" hidden="false" customHeight="false" outlineLevel="0" collapsed="false">
      <c r="A199" s="148"/>
      <c r="B199" s="165"/>
      <c r="C199" s="42"/>
      <c r="D199" s="183"/>
      <c r="E199" s="119"/>
      <c r="F199" s="161"/>
      <c r="G199" s="184"/>
      <c r="H199" s="185"/>
      <c r="I199" s="186"/>
      <c r="J199" s="170"/>
    </row>
    <row r="200" s="156" customFormat="true" ht="15" hidden="false" customHeight="true" outlineLevel="0" collapsed="false">
      <c r="A200" s="148"/>
      <c r="B200" s="149"/>
      <c r="C200" s="145" t="n">
        <v>1</v>
      </c>
      <c r="D200" s="159" t="s">
        <v>76</v>
      </c>
      <c r="E200" s="187" t="n">
        <v>110189.04</v>
      </c>
      <c r="F200" s="161"/>
      <c r="G200" s="190"/>
      <c r="H200" s="162"/>
      <c r="I200" s="191"/>
      <c r="J200" s="164"/>
    </row>
    <row r="201" s="156" customFormat="true" ht="12.75" hidden="false" customHeight="false" outlineLevel="0" collapsed="false">
      <c r="A201" s="148"/>
      <c r="B201" s="165"/>
      <c r="C201" s="42"/>
      <c r="D201" s="166" t="s">
        <v>54</v>
      </c>
      <c r="E201" s="160" t="s">
        <v>55</v>
      </c>
      <c r="F201" s="167" t="n">
        <f aca="false">E200</f>
        <v>110189.04</v>
      </c>
      <c r="G201" s="168" t="n">
        <v>1</v>
      </c>
      <c r="H201" s="133" t="n">
        <f aca="false">+G201*F201</f>
        <v>110189.04</v>
      </c>
      <c r="I201" s="186"/>
      <c r="J201" s="170"/>
    </row>
    <row r="202" s="156" customFormat="true" ht="12.75" hidden="false" customHeight="false" outlineLevel="0" collapsed="false">
      <c r="A202" s="148"/>
      <c r="B202" s="165"/>
      <c r="C202" s="42"/>
      <c r="D202" s="166" t="s">
        <v>4</v>
      </c>
      <c r="E202" s="160" t="s">
        <v>55</v>
      </c>
      <c r="F202" s="167" t="n">
        <f aca="false">F201</f>
        <v>110189.04</v>
      </c>
      <c r="G202" s="171" t="n">
        <v>3</v>
      </c>
      <c r="H202" s="133" t="n">
        <f aca="false">+G202*F202</f>
        <v>330567.12</v>
      </c>
      <c r="I202" s="186"/>
      <c r="J202" s="170"/>
    </row>
    <row r="203" s="156" customFormat="true" ht="12.75" hidden="false" customHeight="false" outlineLevel="0" collapsed="false">
      <c r="A203" s="148"/>
      <c r="B203" s="165"/>
      <c r="C203" s="42"/>
      <c r="D203" s="166" t="s">
        <v>56</v>
      </c>
      <c r="E203" s="172" t="n">
        <f aca="false">22*3</f>
        <v>66</v>
      </c>
      <c r="F203" s="167" t="n">
        <f aca="false">(F202/150)*2</f>
        <v>1469.1872</v>
      </c>
      <c r="G203" s="168" t="n">
        <f aca="false">+F207</f>
        <v>4</v>
      </c>
      <c r="H203" s="133" t="n">
        <f aca="false">+G203*F203*E203</f>
        <v>387865.4208</v>
      </c>
      <c r="I203" s="186"/>
      <c r="J203" s="170"/>
    </row>
    <row r="204" s="156" customFormat="true" ht="12.75" hidden="false" customHeight="false" outlineLevel="0" collapsed="false">
      <c r="A204" s="148"/>
      <c r="B204" s="165"/>
      <c r="C204" s="42"/>
      <c r="D204" s="166" t="s">
        <v>57</v>
      </c>
      <c r="E204" s="173" t="s">
        <v>58</v>
      </c>
      <c r="F204" s="167" t="n">
        <v>0</v>
      </c>
      <c r="G204" s="133"/>
      <c r="H204" s="133" t="n">
        <f aca="false">+G204*F204</f>
        <v>0</v>
      </c>
      <c r="I204" s="186"/>
      <c r="J204" s="170"/>
    </row>
    <row r="205" s="156" customFormat="true" ht="12.75" hidden="false" customHeight="false" outlineLevel="0" collapsed="false">
      <c r="A205" s="148"/>
      <c r="B205" s="165"/>
      <c r="C205" s="42"/>
      <c r="D205" s="166" t="s">
        <v>59</v>
      </c>
      <c r="E205" s="173" t="s">
        <v>58</v>
      </c>
      <c r="F205" s="167" t="n">
        <v>0</v>
      </c>
      <c r="G205" s="133"/>
      <c r="H205" s="133" t="n">
        <f aca="false">+G205*F205</f>
        <v>0</v>
      </c>
      <c r="I205" s="186"/>
      <c r="J205" s="170"/>
    </row>
    <row r="206" s="156" customFormat="true" ht="12.75" hidden="false" customHeight="false" outlineLevel="0" collapsed="false">
      <c r="A206" s="148"/>
      <c r="B206" s="165"/>
      <c r="C206" s="42"/>
      <c r="D206" s="166" t="s">
        <v>60</v>
      </c>
      <c r="E206" s="160" t="s">
        <v>61</v>
      </c>
      <c r="F206" s="167" t="n">
        <f aca="false">E200</f>
        <v>110189.04</v>
      </c>
      <c r="G206" s="133" t="n">
        <v>0</v>
      </c>
      <c r="H206" s="133" t="n">
        <f aca="false">+G206*F206</f>
        <v>0</v>
      </c>
      <c r="I206" s="186"/>
      <c r="J206" s="170"/>
    </row>
    <row r="207" s="156" customFormat="true" ht="12.75" hidden="false" customHeight="false" outlineLevel="0" collapsed="false">
      <c r="A207" s="148"/>
      <c r="B207" s="165"/>
      <c r="C207" s="42"/>
      <c r="D207" s="166" t="s">
        <v>62</v>
      </c>
      <c r="E207" s="173" t="s">
        <v>30</v>
      </c>
      <c r="F207" s="161" t="n">
        <f aca="false">+G201+G202+G206</f>
        <v>4</v>
      </c>
      <c r="G207" s="137" t="s">
        <v>63</v>
      </c>
      <c r="H207" s="133" t="n">
        <f aca="false">SUM(H201:H206)</f>
        <v>828621.5808</v>
      </c>
      <c r="I207" s="169"/>
      <c r="J207" s="170"/>
    </row>
    <row r="208" s="156" customFormat="true" ht="12.75" hidden="false" customHeight="false" outlineLevel="0" collapsed="false">
      <c r="A208" s="148"/>
      <c r="B208" s="165"/>
      <c r="C208" s="42"/>
      <c r="D208" s="175" t="s">
        <v>64</v>
      </c>
      <c r="E208" s="173" t="s">
        <v>30</v>
      </c>
      <c r="F208" s="167"/>
      <c r="G208" s="188"/>
      <c r="H208" s="133" t="n">
        <f aca="false">H207*8.33%</f>
        <v>69024.17768064</v>
      </c>
      <c r="I208" s="177"/>
      <c r="J208" s="178"/>
    </row>
    <row r="209" s="156" customFormat="true" ht="12.75" hidden="false" customHeight="false" outlineLevel="0" collapsed="false">
      <c r="A209" s="148"/>
      <c r="B209" s="165"/>
      <c r="C209" s="42"/>
      <c r="D209" s="175" t="s">
        <v>65</v>
      </c>
      <c r="E209" s="167"/>
      <c r="F209" s="167"/>
      <c r="G209" s="180"/>
      <c r="H209" s="133" t="n">
        <f aca="false">H207*7%</f>
        <v>58003.510656</v>
      </c>
      <c r="I209" s="181" t="n">
        <v>0</v>
      </c>
      <c r="J209" s="182" t="n">
        <f aca="false">+(H207+H208+H209)*C200</f>
        <v>955649.26913664</v>
      </c>
    </row>
    <row r="210" s="156" customFormat="true" ht="12.75" hidden="false" customHeight="false" outlineLevel="0" collapsed="false">
      <c r="A210" s="148"/>
      <c r="B210" s="165"/>
      <c r="C210" s="42"/>
      <c r="D210" s="183"/>
      <c r="E210" s="189"/>
      <c r="F210" s="161"/>
      <c r="G210" s="184"/>
      <c r="H210" s="185"/>
      <c r="I210" s="186"/>
      <c r="J210" s="170"/>
    </row>
    <row r="211" s="156" customFormat="true" ht="15" hidden="false" customHeight="true" outlineLevel="0" collapsed="false">
      <c r="A211" s="148"/>
      <c r="B211" s="149"/>
      <c r="C211" s="145" t="n">
        <v>1</v>
      </c>
      <c r="D211" s="159" t="s">
        <v>77</v>
      </c>
      <c r="E211" s="187" t="n">
        <v>171110.03</v>
      </c>
      <c r="F211" s="161"/>
      <c r="G211" s="25"/>
      <c r="H211" s="162"/>
      <c r="I211" s="163"/>
      <c r="J211" s="164"/>
    </row>
    <row r="212" s="156" customFormat="true" ht="12.75" hidden="false" customHeight="false" outlineLevel="0" collapsed="false">
      <c r="A212" s="148"/>
      <c r="B212" s="165"/>
      <c r="C212" s="42"/>
      <c r="D212" s="166" t="s">
        <v>54</v>
      </c>
      <c r="E212" s="160" t="s">
        <v>55</v>
      </c>
      <c r="F212" s="167" t="n">
        <f aca="false">E211</f>
        <v>171110.03</v>
      </c>
      <c r="G212" s="168" t="n">
        <v>1.5</v>
      </c>
      <c r="H212" s="133" t="n">
        <f aca="false">+G212*F212</f>
        <v>256665.045</v>
      </c>
      <c r="I212" s="169"/>
      <c r="J212" s="170"/>
    </row>
    <row r="213" s="156" customFormat="true" ht="12.75" hidden="false" customHeight="false" outlineLevel="0" collapsed="false">
      <c r="A213" s="148"/>
      <c r="B213" s="165"/>
      <c r="C213" s="42"/>
      <c r="D213" s="166" t="s">
        <v>4</v>
      </c>
      <c r="E213" s="160" t="s">
        <v>55</v>
      </c>
      <c r="F213" s="167" t="n">
        <f aca="false">F212</f>
        <v>171110.03</v>
      </c>
      <c r="G213" s="168" t="n">
        <v>3</v>
      </c>
      <c r="H213" s="133" t="n">
        <f aca="false">+G213*F213</f>
        <v>513330.09</v>
      </c>
      <c r="I213" s="169"/>
      <c r="J213" s="170"/>
    </row>
    <row r="214" s="156" customFormat="true" ht="12.75" hidden="false" customHeight="false" outlineLevel="0" collapsed="false">
      <c r="A214" s="148"/>
      <c r="B214" s="165"/>
      <c r="C214" s="42"/>
      <c r="D214" s="166" t="s">
        <v>56</v>
      </c>
      <c r="E214" s="172" t="n">
        <f aca="false">22*3</f>
        <v>66</v>
      </c>
      <c r="F214" s="167" t="n">
        <f aca="false">(F213/150)*2</f>
        <v>2281.46706666667</v>
      </c>
      <c r="G214" s="168" t="n">
        <f aca="false">+F218</f>
        <v>4.5</v>
      </c>
      <c r="H214" s="133" t="n">
        <f aca="false">+G214*F214*E214</f>
        <v>677595.7188</v>
      </c>
      <c r="I214" s="169"/>
      <c r="J214" s="170"/>
    </row>
    <row r="215" s="156" customFormat="true" ht="12.75" hidden="false" customHeight="false" outlineLevel="0" collapsed="false">
      <c r="A215" s="148"/>
      <c r="B215" s="165"/>
      <c r="C215" s="42"/>
      <c r="D215" s="166" t="s">
        <v>57</v>
      </c>
      <c r="E215" s="173" t="s">
        <v>58</v>
      </c>
      <c r="F215" s="167" t="n">
        <v>0</v>
      </c>
      <c r="G215" s="133" t="n">
        <f aca="false">$H$3</f>
        <v>66</v>
      </c>
      <c r="H215" s="133" t="n">
        <f aca="false">+G215*F215</f>
        <v>0</v>
      </c>
      <c r="I215" s="169"/>
      <c r="J215" s="170"/>
    </row>
    <row r="216" s="156" customFormat="true" ht="12.75" hidden="false" customHeight="false" outlineLevel="0" collapsed="false">
      <c r="A216" s="148"/>
      <c r="B216" s="165"/>
      <c r="C216" s="42"/>
      <c r="D216" s="166" t="s">
        <v>59</v>
      </c>
      <c r="E216" s="173" t="s">
        <v>58</v>
      </c>
      <c r="F216" s="167" t="n">
        <v>0</v>
      </c>
      <c r="G216" s="133" t="n">
        <f aca="false">$H$4</f>
        <v>103</v>
      </c>
      <c r="H216" s="133" t="n">
        <f aca="false">+G216*F216</f>
        <v>0</v>
      </c>
      <c r="I216" s="169"/>
      <c r="J216" s="170"/>
    </row>
    <row r="217" s="156" customFormat="true" ht="12.75" hidden="false" customHeight="false" outlineLevel="0" collapsed="false">
      <c r="A217" s="148"/>
      <c r="B217" s="165"/>
      <c r="C217" s="42"/>
      <c r="D217" s="166" t="s">
        <v>60</v>
      </c>
      <c r="E217" s="160" t="s">
        <v>61</v>
      </c>
      <c r="F217" s="167" t="n">
        <f aca="false">E211</f>
        <v>171110.03</v>
      </c>
      <c r="G217" s="133" t="n">
        <v>0</v>
      </c>
      <c r="H217" s="133" t="n">
        <f aca="false">+G217*F217</f>
        <v>0</v>
      </c>
      <c r="I217" s="169"/>
      <c r="J217" s="170"/>
    </row>
    <row r="218" s="156" customFormat="true" ht="12.75" hidden="false" customHeight="false" outlineLevel="0" collapsed="false">
      <c r="A218" s="148"/>
      <c r="B218" s="165"/>
      <c r="C218" s="42"/>
      <c r="D218" s="166" t="s">
        <v>62</v>
      </c>
      <c r="E218" s="173" t="s">
        <v>30</v>
      </c>
      <c r="F218" s="161" t="n">
        <f aca="false">+G212+G213+G217</f>
        <v>4.5</v>
      </c>
      <c r="G218" s="137" t="s">
        <v>63</v>
      </c>
      <c r="H218" s="133" t="n">
        <f aca="false">SUM(H212:H217)</f>
        <v>1447590.8538</v>
      </c>
      <c r="I218" s="169"/>
      <c r="J218" s="170"/>
    </row>
    <row r="219" s="156" customFormat="true" ht="12.75" hidden="false" customHeight="false" outlineLevel="0" collapsed="false">
      <c r="A219" s="148"/>
      <c r="B219" s="165"/>
      <c r="C219" s="42"/>
      <c r="D219" s="175" t="s">
        <v>64</v>
      </c>
      <c r="E219" s="173" t="s">
        <v>30</v>
      </c>
      <c r="F219" s="167"/>
      <c r="G219" s="188"/>
      <c r="H219" s="133" t="n">
        <f aca="false">H218*8.33%</f>
        <v>120584.31812154</v>
      </c>
      <c r="I219" s="177"/>
      <c r="J219" s="178"/>
    </row>
    <row r="220" s="156" customFormat="true" ht="12.75" hidden="false" customHeight="false" outlineLevel="0" collapsed="false">
      <c r="A220" s="148"/>
      <c r="B220" s="165"/>
      <c r="C220" s="42"/>
      <c r="D220" s="175" t="s">
        <v>65</v>
      </c>
      <c r="E220" s="167"/>
      <c r="F220" s="167"/>
      <c r="G220" s="180"/>
      <c r="H220" s="133" t="n">
        <f aca="false">H218*7%</f>
        <v>101331.359766</v>
      </c>
      <c r="I220" s="181" t="n">
        <v>0</v>
      </c>
      <c r="J220" s="182" t="n">
        <f aca="false">+(H218+H219+H220)*C211</f>
        <v>1669506.53168754</v>
      </c>
    </row>
    <row r="221" s="156" customFormat="true" ht="12.75" hidden="false" customHeight="false" outlineLevel="0" collapsed="false">
      <c r="A221" s="148"/>
      <c r="B221" s="165"/>
      <c r="C221" s="42"/>
      <c r="D221" s="183"/>
      <c r="E221" s="119"/>
      <c r="F221" s="161"/>
      <c r="G221" s="184"/>
      <c r="H221" s="185"/>
      <c r="I221" s="186"/>
      <c r="J221" s="170"/>
    </row>
    <row r="222" s="156" customFormat="true" ht="15" hidden="false" customHeight="true" outlineLevel="0" collapsed="false">
      <c r="A222" s="148"/>
      <c r="B222" s="149"/>
      <c r="C222" s="145" t="n">
        <v>1</v>
      </c>
      <c r="D222" s="159" t="s">
        <v>78</v>
      </c>
      <c r="E222" s="187" t="n">
        <v>171110.03</v>
      </c>
      <c r="F222" s="161"/>
      <c r="G222" s="190"/>
      <c r="H222" s="162"/>
      <c r="I222" s="191"/>
      <c r="J222" s="164"/>
    </row>
    <row r="223" s="156" customFormat="true" ht="12.75" hidden="false" customHeight="false" outlineLevel="0" collapsed="false">
      <c r="A223" s="148"/>
      <c r="B223" s="165"/>
      <c r="C223" s="42"/>
      <c r="D223" s="166" t="s">
        <v>54</v>
      </c>
      <c r="E223" s="160" t="s">
        <v>55</v>
      </c>
      <c r="F223" s="167" t="n">
        <f aca="false">E222</f>
        <v>171110.03</v>
      </c>
      <c r="G223" s="168" t="n">
        <v>1</v>
      </c>
      <c r="H223" s="133" t="n">
        <f aca="false">+G223*F223</f>
        <v>171110.03</v>
      </c>
      <c r="I223" s="186"/>
      <c r="J223" s="170"/>
    </row>
    <row r="224" s="156" customFormat="true" ht="12.75" hidden="false" customHeight="false" outlineLevel="0" collapsed="false">
      <c r="A224" s="148"/>
      <c r="B224" s="165"/>
      <c r="C224" s="42"/>
      <c r="D224" s="166" t="s">
        <v>4</v>
      </c>
      <c r="E224" s="160" t="s">
        <v>55</v>
      </c>
      <c r="F224" s="167" t="n">
        <f aca="false">F223</f>
        <v>171110.03</v>
      </c>
      <c r="G224" s="168" t="n">
        <v>3</v>
      </c>
      <c r="H224" s="133" t="n">
        <f aca="false">+G224*F224</f>
        <v>513330.09</v>
      </c>
      <c r="I224" s="186"/>
      <c r="J224" s="170"/>
    </row>
    <row r="225" s="156" customFormat="true" ht="12.75" hidden="false" customHeight="false" outlineLevel="0" collapsed="false">
      <c r="A225" s="148"/>
      <c r="B225" s="165"/>
      <c r="C225" s="42"/>
      <c r="D225" s="166" t="s">
        <v>56</v>
      </c>
      <c r="E225" s="172" t="n">
        <f aca="false">22*3</f>
        <v>66</v>
      </c>
      <c r="F225" s="167" t="n">
        <f aca="false">(F223/150)*2</f>
        <v>2281.46706666667</v>
      </c>
      <c r="G225" s="168" t="n">
        <f aca="false">+F229</f>
        <v>4</v>
      </c>
      <c r="H225" s="133" t="n">
        <f aca="false">+G225*F225*E225</f>
        <v>602307.3056</v>
      </c>
      <c r="I225" s="186"/>
      <c r="J225" s="170"/>
    </row>
    <row r="226" s="156" customFormat="true" ht="12.75" hidden="false" customHeight="false" outlineLevel="0" collapsed="false">
      <c r="A226" s="148"/>
      <c r="B226" s="165"/>
      <c r="C226" s="42"/>
      <c r="D226" s="166" t="s">
        <v>57</v>
      </c>
      <c r="E226" s="173" t="s">
        <v>58</v>
      </c>
      <c r="F226" s="167" t="n">
        <v>0</v>
      </c>
      <c r="G226" s="133" t="n">
        <f aca="false">$H$3</f>
        <v>66</v>
      </c>
      <c r="H226" s="133" t="n">
        <f aca="false">+G226*F226</f>
        <v>0</v>
      </c>
      <c r="I226" s="186"/>
      <c r="J226" s="170"/>
    </row>
    <row r="227" s="156" customFormat="true" ht="12.75" hidden="false" customHeight="false" outlineLevel="0" collapsed="false">
      <c r="A227" s="148"/>
      <c r="B227" s="165"/>
      <c r="C227" s="42"/>
      <c r="D227" s="166" t="s">
        <v>59</v>
      </c>
      <c r="E227" s="173" t="s">
        <v>58</v>
      </c>
      <c r="F227" s="167" t="n">
        <v>0</v>
      </c>
      <c r="G227" s="133" t="n">
        <f aca="false">$H$4</f>
        <v>103</v>
      </c>
      <c r="H227" s="133" t="n">
        <f aca="false">+G227*F227</f>
        <v>0</v>
      </c>
      <c r="I227" s="186"/>
      <c r="J227" s="170"/>
    </row>
    <row r="228" s="156" customFormat="true" ht="12.75" hidden="false" customHeight="false" outlineLevel="0" collapsed="false">
      <c r="A228" s="148"/>
      <c r="B228" s="165"/>
      <c r="C228" s="42"/>
      <c r="D228" s="166" t="s">
        <v>60</v>
      </c>
      <c r="E228" s="160" t="s">
        <v>61</v>
      </c>
      <c r="F228" s="167" t="n">
        <f aca="false">E222</f>
        <v>171110.03</v>
      </c>
      <c r="G228" s="133" t="n">
        <v>0</v>
      </c>
      <c r="H228" s="133" t="n">
        <f aca="false">+G228*F228</f>
        <v>0</v>
      </c>
      <c r="I228" s="186"/>
      <c r="J228" s="170"/>
    </row>
    <row r="229" s="156" customFormat="true" ht="12.75" hidden="false" customHeight="false" outlineLevel="0" collapsed="false">
      <c r="A229" s="148"/>
      <c r="B229" s="165"/>
      <c r="C229" s="42"/>
      <c r="D229" s="166" t="s">
        <v>62</v>
      </c>
      <c r="E229" s="173" t="s">
        <v>30</v>
      </c>
      <c r="F229" s="161" t="n">
        <f aca="false">+G223+G224+G228</f>
        <v>4</v>
      </c>
      <c r="G229" s="137" t="s">
        <v>63</v>
      </c>
      <c r="H229" s="133" t="n">
        <f aca="false">SUM(H223:H228)</f>
        <v>1286747.4256</v>
      </c>
      <c r="I229" s="169"/>
      <c r="J229" s="170"/>
    </row>
    <row r="230" s="156" customFormat="true" ht="12.75" hidden="false" customHeight="false" outlineLevel="0" collapsed="false">
      <c r="A230" s="148"/>
      <c r="B230" s="165"/>
      <c r="C230" s="42"/>
      <c r="D230" s="175" t="s">
        <v>64</v>
      </c>
      <c r="E230" s="173" t="s">
        <v>30</v>
      </c>
      <c r="F230" s="167"/>
      <c r="G230" s="188"/>
      <c r="H230" s="133" t="n">
        <f aca="false">H229*8.33%</f>
        <v>107186.06055248</v>
      </c>
      <c r="I230" s="177"/>
      <c r="J230" s="178"/>
    </row>
    <row r="231" s="156" customFormat="true" ht="12.75" hidden="false" customHeight="false" outlineLevel="0" collapsed="false">
      <c r="A231" s="148"/>
      <c r="B231" s="165"/>
      <c r="C231" s="42"/>
      <c r="D231" s="175" t="s">
        <v>65</v>
      </c>
      <c r="E231" s="167"/>
      <c r="F231" s="167"/>
      <c r="G231" s="180"/>
      <c r="H231" s="133" t="n">
        <f aca="false">H229*7%</f>
        <v>90072.319792</v>
      </c>
      <c r="I231" s="181" t="n">
        <v>0</v>
      </c>
      <c r="J231" s="182" t="n">
        <f aca="false">+(H229+H230+H231)*C222</f>
        <v>1484005.80594448</v>
      </c>
    </row>
    <row r="232" s="156" customFormat="true" ht="12.75" hidden="false" customHeight="false" outlineLevel="0" collapsed="false">
      <c r="A232" s="148"/>
      <c r="B232" s="165"/>
      <c r="C232" s="42"/>
      <c r="D232" s="183"/>
      <c r="E232" s="119"/>
      <c r="F232" s="161"/>
      <c r="G232" s="184"/>
      <c r="H232" s="185"/>
      <c r="I232" s="186"/>
      <c r="J232" s="170"/>
    </row>
    <row r="233" s="156" customFormat="true" ht="15" hidden="false" customHeight="true" outlineLevel="0" collapsed="false">
      <c r="A233" s="148"/>
      <c r="B233" s="149"/>
      <c r="C233" s="145" t="n">
        <v>2</v>
      </c>
      <c r="D233" s="159" t="s">
        <v>79</v>
      </c>
      <c r="E233" s="187" t="n">
        <v>148536.84</v>
      </c>
      <c r="F233" s="161"/>
      <c r="G233" s="190"/>
      <c r="H233" s="162"/>
      <c r="I233" s="191"/>
      <c r="J233" s="164"/>
    </row>
    <row r="234" s="156" customFormat="true" ht="12.75" hidden="false" customHeight="false" outlineLevel="0" collapsed="false">
      <c r="A234" s="148"/>
      <c r="B234" s="165"/>
      <c r="C234" s="42"/>
      <c r="D234" s="166" t="s">
        <v>54</v>
      </c>
      <c r="E234" s="160" t="s">
        <v>55</v>
      </c>
      <c r="F234" s="167" t="n">
        <f aca="false">E233</f>
        <v>148536.84</v>
      </c>
      <c r="G234" s="168" t="n">
        <v>0.25</v>
      </c>
      <c r="H234" s="133" t="n">
        <f aca="false">F234*G234</f>
        <v>37134.21</v>
      </c>
      <c r="I234" s="186"/>
      <c r="J234" s="170"/>
    </row>
    <row r="235" s="156" customFormat="true" ht="12.75" hidden="false" customHeight="false" outlineLevel="0" collapsed="false">
      <c r="A235" s="148"/>
      <c r="B235" s="165"/>
      <c r="C235" s="42"/>
      <c r="D235" s="166" t="s">
        <v>4</v>
      </c>
      <c r="E235" s="160" t="s">
        <v>55</v>
      </c>
      <c r="F235" s="167" t="n">
        <f aca="false">F234</f>
        <v>148536.84</v>
      </c>
      <c r="G235" s="168" t="n">
        <v>3</v>
      </c>
      <c r="H235" s="133" t="n">
        <f aca="false">F235*G235</f>
        <v>445610.52</v>
      </c>
      <c r="I235" s="186"/>
      <c r="J235" s="170"/>
    </row>
    <row r="236" s="156" customFormat="true" ht="12.75" hidden="false" customHeight="false" outlineLevel="0" collapsed="false">
      <c r="A236" s="148"/>
      <c r="B236" s="165"/>
      <c r="C236" s="42"/>
      <c r="D236" s="166" t="s">
        <v>56</v>
      </c>
      <c r="E236" s="172" t="n">
        <f aca="false">22*3</f>
        <v>66</v>
      </c>
      <c r="F236" s="167" t="n">
        <f aca="false">(F235/150)*2</f>
        <v>1980.4912</v>
      </c>
      <c r="G236" s="168" t="n">
        <f aca="false">+F240</f>
        <v>3.25</v>
      </c>
      <c r="H236" s="133" t="n">
        <f aca="false">+F236*E236*G236</f>
        <v>424815.3624</v>
      </c>
      <c r="I236" s="186"/>
      <c r="J236" s="170"/>
    </row>
    <row r="237" s="156" customFormat="true" ht="12.75" hidden="false" customHeight="false" outlineLevel="0" collapsed="false">
      <c r="A237" s="148"/>
      <c r="B237" s="165"/>
      <c r="C237" s="42"/>
      <c r="D237" s="166" t="s">
        <v>57</v>
      </c>
      <c r="E237" s="173" t="s">
        <v>58</v>
      </c>
      <c r="F237" s="167" t="n">
        <v>0</v>
      </c>
      <c r="G237" s="133" t="n">
        <f aca="false">$H$3</f>
        <v>66</v>
      </c>
      <c r="H237" s="133" t="n">
        <f aca="false">F237*G237</f>
        <v>0</v>
      </c>
      <c r="I237" s="186"/>
      <c r="J237" s="170"/>
    </row>
    <row r="238" s="156" customFormat="true" ht="12.75" hidden="false" customHeight="false" outlineLevel="0" collapsed="false">
      <c r="A238" s="148"/>
      <c r="B238" s="165"/>
      <c r="C238" s="42"/>
      <c r="D238" s="166" t="s">
        <v>59</v>
      </c>
      <c r="E238" s="173" t="s">
        <v>58</v>
      </c>
      <c r="F238" s="167" t="n">
        <v>0</v>
      </c>
      <c r="G238" s="133" t="n">
        <f aca="false">$H$4</f>
        <v>103</v>
      </c>
      <c r="H238" s="133" t="n">
        <f aca="false">F238*G238</f>
        <v>0</v>
      </c>
      <c r="I238" s="186"/>
      <c r="J238" s="170"/>
    </row>
    <row r="239" s="156" customFormat="true" ht="12.75" hidden="false" customHeight="false" outlineLevel="0" collapsed="false">
      <c r="A239" s="148"/>
      <c r="B239" s="165"/>
      <c r="C239" s="42"/>
      <c r="D239" s="166" t="s">
        <v>60</v>
      </c>
      <c r="E239" s="160" t="s">
        <v>61</v>
      </c>
      <c r="F239" s="167" t="n">
        <f aca="false">E233</f>
        <v>148536.84</v>
      </c>
      <c r="G239" s="133" t="n">
        <v>0</v>
      </c>
      <c r="H239" s="133" t="n">
        <f aca="false">F239*G239</f>
        <v>0</v>
      </c>
      <c r="I239" s="186"/>
      <c r="J239" s="170"/>
    </row>
    <row r="240" s="156" customFormat="true" ht="12.75" hidden="false" customHeight="false" outlineLevel="0" collapsed="false">
      <c r="A240" s="148"/>
      <c r="B240" s="165"/>
      <c r="C240" s="42"/>
      <c r="D240" s="166" t="s">
        <v>62</v>
      </c>
      <c r="E240" s="173" t="s">
        <v>30</v>
      </c>
      <c r="F240" s="161" t="n">
        <f aca="false">+G234+G235+G239</f>
        <v>3.25</v>
      </c>
      <c r="G240" s="137" t="s">
        <v>63</v>
      </c>
      <c r="H240" s="133" t="n">
        <f aca="false">SUM(H234:H239)</f>
        <v>907560.0924</v>
      </c>
      <c r="I240" s="169"/>
      <c r="J240" s="170"/>
    </row>
    <row r="241" s="156" customFormat="true" ht="12.75" hidden="false" customHeight="false" outlineLevel="0" collapsed="false">
      <c r="A241" s="148"/>
      <c r="B241" s="165"/>
      <c r="C241" s="42"/>
      <c r="D241" s="175" t="s">
        <v>64</v>
      </c>
      <c r="E241" s="173" t="s">
        <v>30</v>
      </c>
      <c r="F241" s="167"/>
      <c r="G241" s="188"/>
      <c r="H241" s="133" t="n">
        <f aca="false">H240*8.33%</f>
        <v>75599.75569692</v>
      </c>
      <c r="I241" s="177"/>
      <c r="J241" s="178"/>
    </row>
    <row r="242" s="156" customFormat="true" ht="12.75" hidden="false" customHeight="false" outlineLevel="0" collapsed="false">
      <c r="A242" s="148"/>
      <c r="B242" s="165"/>
      <c r="C242" s="42"/>
      <c r="D242" s="175" t="s">
        <v>65</v>
      </c>
      <c r="E242" s="167"/>
      <c r="F242" s="167"/>
      <c r="G242" s="180"/>
      <c r="H242" s="133" t="n">
        <f aca="false">H240*7%</f>
        <v>63529.206468</v>
      </c>
      <c r="I242" s="181" t="n">
        <v>0</v>
      </c>
      <c r="J242" s="182" t="n">
        <f aca="false">+(H240+H241+H242)*C233</f>
        <v>2093378.10912984</v>
      </c>
    </row>
    <row r="243" s="156" customFormat="true" ht="12.75" hidden="false" customHeight="false" outlineLevel="0" collapsed="false">
      <c r="A243" s="148"/>
      <c r="B243" s="165"/>
      <c r="C243" s="42"/>
      <c r="D243" s="183"/>
      <c r="E243" s="119"/>
      <c r="F243" s="161"/>
      <c r="G243" s="184"/>
      <c r="H243" s="185"/>
      <c r="I243" s="186"/>
      <c r="J243" s="170"/>
    </row>
    <row r="244" s="156" customFormat="true" ht="15" hidden="false" customHeight="true" outlineLevel="0" collapsed="false">
      <c r="A244" s="148"/>
      <c r="B244" s="149"/>
      <c r="C244" s="145" t="n">
        <v>2</v>
      </c>
      <c r="D244" s="159" t="s">
        <v>80</v>
      </c>
      <c r="E244" s="187" t="n">
        <v>119478.26</v>
      </c>
      <c r="F244" s="161"/>
      <c r="G244" s="190"/>
      <c r="H244" s="162"/>
      <c r="I244" s="191"/>
      <c r="J244" s="164"/>
    </row>
    <row r="245" s="156" customFormat="true" ht="12.75" hidden="false" customHeight="false" outlineLevel="0" collapsed="false">
      <c r="A245" s="148"/>
      <c r="B245" s="165"/>
      <c r="C245" s="42"/>
      <c r="D245" s="166" t="s">
        <v>54</v>
      </c>
      <c r="E245" s="160" t="s">
        <v>55</v>
      </c>
      <c r="F245" s="167" t="n">
        <f aca="false">E244</f>
        <v>119478.26</v>
      </c>
      <c r="G245" s="168" t="n">
        <v>0.25</v>
      </c>
      <c r="H245" s="133" t="n">
        <f aca="false">+G245*F245</f>
        <v>29869.565</v>
      </c>
      <c r="I245" s="186"/>
      <c r="J245" s="170"/>
    </row>
    <row r="246" s="156" customFormat="true" ht="12.75" hidden="false" customHeight="false" outlineLevel="0" collapsed="false">
      <c r="A246" s="148"/>
      <c r="B246" s="165"/>
      <c r="C246" s="42"/>
      <c r="D246" s="166" t="s">
        <v>4</v>
      </c>
      <c r="E246" s="160" t="s">
        <v>55</v>
      </c>
      <c r="F246" s="167" t="n">
        <f aca="false">F245</f>
        <v>119478.26</v>
      </c>
      <c r="G246" s="168" t="n">
        <v>3</v>
      </c>
      <c r="H246" s="133" t="n">
        <f aca="false">+G246*F246</f>
        <v>358434.78</v>
      </c>
      <c r="I246" s="186"/>
      <c r="J246" s="170"/>
    </row>
    <row r="247" s="156" customFormat="true" ht="12.75" hidden="false" customHeight="false" outlineLevel="0" collapsed="false">
      <c r="A247" s="148"/>
      <c r="B247" s="165"/>
      <c r="C247" s="42"/>
      <c r="D247" s="166" t="s">
        <v>56</v>
      </c>
      <c r="E247" s="172" t="n">
        <f aca="false">22*3</f>
        <v>66</v>
      </c>
      <c r="F247" s="167" t="n">
        <f aca="false">(F246/150)*2</f>
        <v>1593.04346666667</v>
      </c>
      <c r="G247" s="168" t="n">
        <f aca="false">+F251</f>
        <v>3.25</v>
      </c>
      <c r="H247" s="133" t="n">
        <f aca="false">+G247*F247*E247</f>
        <v>341707.8236</v>
      </c>
      <c r="I247" s="186"/>
      <c r="J247" s="170"/>
    </row>
    <row r="248" s="156" customFormat="true" ht="12.75" hidden="false" customHeight="false" outlineLevel="0" collapsed="false">
      <c r="A248" s="148"/>
      <c r="B248" s="165"/>
      <c r="C248" s="42"/>
      <c r="D248" s="166" t="s">
        <v>57</v>
      </c>
      <c r="E248" s="173" t="s">
        <v>58</v>
      </c>
      <c r="F248" s="167" t="n">
        <v>0</v>
      </c>
      <c r="G248" s="133" t="n">
        <f aca="false">$H$3</f>
        <v>66</v>
      </c>
      <c r="H248" s="133" t="n">
        <f aca="false">+G248*F248</f>
        <v>0</v>
      </c>
      <c r="I248" s="186"/>
      <c r="J248" s="170"/>
    </row>
    <row r="249" s="156" customFormat="true" ht="12.75" hidden="false" customHeight="false" outlineLevel="0" collapsed="false">
      <c r="A249" s="148"/>
      <c r="B249" s="165"/>
      <c r="C249" s="42"/>
      <c r="D249" s="166" t="s">
        <v>59</v>
      </c>
      <c r="E249" s="173" t="s">
        <v>58</v>
      </c>
      <c r="F249" s="167" t="n">
        <v>0</v>
      </c>
      <c r="G249" s="133" t="n">
        <f aca="false">$H$4</f>
        <v>103</v>
      </c>
      <c r="H249" s="133" t="n">
        <f aca="false">+G249*F249</f>
        <v>0</v>
      </c>
      <c r="I249" s="186"/>
      <c r="J249" s="170"/>
    </row>
    <row r="250" s="156" customFormat="true" ht="12.75" hidden="false" customHeight="false" outlineLevel="0" collapsed="false">
      <c r="A250" s="148"/>
      <c r="B250" s="165"/>
      <c r="C250" s="42"/>
      <c r="D250" s="166" t="s">
        <v>60</v>
      </c>
      <c r="E250" s="160" t="s">
        <v>61</v>
      </c>
      <c r="F250" s="167" t="n">
        <f aca="false">E244</f>
        <v>119478.26</v>
      </c>
      <c r="G250" s="133" t="n">
        <v>0</v>
      </c>
      <c r="H250" s="133" t="n">
        <f aca="false">+G250*F250</f>
        <v>0</v>
      </c>
      <c r="I250" s="186"/>
      <c r="J250" s="170"/>
    </row>
    <row r="251" s="156" customFormat="true" ht="12.75" hidden="false" customHeight="false" outlineLevel="0" collapsed="false">
      <c r="A251" s="148"/>
      <c r="B251" s="165"/>
      <c r="C251" s="42"/>
      <c r="D251" s="166" t="s">
        <v>62</v>
      </c>
      <c r="E251" s="173" t="s">
        <v>30</v>
      </c>
      <c r="F251" s="161" t="n">
        <f aca="false">+G245+G246+G250</f>
        <v>3.25</v>
      </c>
      <c r="G251" s="137" t="s">
        <v>63</v>
      </c>
      <c r="H251" s="133" t="n">
        <f aca="false">SUM(H245:H250)</f>
        <v>730012.1686</v>
      </c>
      <c r="I251" s="169"/>
      <c r="J251" s="170"/>
    </row>
    <row r="252" s="156" customFormat="true" ht="12.75" hidden="false" customHeight="false" outlineLevel="0" collapsed="false">
      <c r="A252" s="148"/>
      <c r="B252" s="165"/>
      <c r="C252" s="42"/>
      <c r="D252" s="175" t="s">
        <v>64</v>
      </c>
      <c r="E252" s="173" t="s">
        <v>30</v>
      </c>
      <c r="F252" s="167"/>
      <c r="G252" s="188"/>
      <c r="H252" s="133" t="n">
        <f aca="false">H251*8.33%</f>
        <v>60810.01364438</v>
      </c>
      <c r="I252" s="177"/>
      <c r="J252" s="178"/>
    </row>
    <row r="253" s="156" customFormat="true" ht="12.75" hidden="false" customHeight="false" outlineLevel="0" collapsed="false">
      <c r="A253" s="148"/>
      <c r="B253" s="165"/>
      <c r="C253" s="42"/>
      <c r="D253" s="175" t="s">
        <v>65</v>
      </c>
      <c r="E253" s="167"/>
      <c r="F253" s="167"/>
      <c r="G253" s="180"/>
      <c r="H253" s="133" t="n">
        <f aca="false">H251*7%</f>
        <v>51100.851802</v>
      </c>
      <c r="I253" s="181" t="n">
        <v>0</v>
      </c>
      <c r="J253" s="182" t="n">
        <f aca="false">+(H251+H252+H253)*C244</f>
        <v>1683846.06809276</v>
      </c>
    </row>
    <row r="254" s="156" customFormat="true" ht="12.75" hidden="false" customHeight="false" outlineLevel="0" collapsed="false">
      <c r="A254" s="148"/>
      <c r="B254" s="165"/>
      <c r="C254" s="42"/>
      <c r="D254" s="183"/>
      <c r="E254" s="119"/>
      <c r="F254" s="161"/>
      <c r="G254" s="184"/>
      <c r="H254" s="185"/>
      <c r="I254" s="186"/>
      <c r="J254" s="170"/>
    </row>
    <row r="255" s="156" customFormat="true" ht="15" hidden="false" customHeight="true" outlineLevel="0" collapsed="false">
      <c r="A255" s="148"/>
      <c r="B255" s="149"/>
      <c r="C255" s="145" t="n">
        <v>2</v>
      </c>
      <c r="D255" s="159" t="s">
        <v>81</v>
      </c>
      <c r="E255" s="187" t="n">
        <v>101647.54</v>
      </c>
      <c r="F255" s="161"/>
      <c r="G255" s="190"/>
      <c r="H255" s="162"/>
      <c r="I255" s="191"/>
      <c r="J255" s="164"/>
    </row>
    <row r="256" s="156" customFormat="true" ht="12.75" hidden="false" customHeight="false" outlineLevel="0" collapsed="false">
      <c r="A256" s="148"/>
      <c r="B256" s="165"/>
      <c r="C256" s="42"/>
      <c r="D256" s="166" t="s">
        <v>54</v>
      </c>
      <c r="E256" s="160" t="s">
        <v>55</v>
      </c>
      <c r="F256" s="167" t="n">
        <f aca="false">E255</f>
        <v>101647.54</v>
      </c>
      <c r="G256" s="168" t="n">
        <v>0.25</v>
      </c>
      <c r="H256" s="133" t="n">
        <f aca="false">+G256*F256</f>
        <v>25411.885</v>
      </c>
      <c r="I256" s="186"/>
      <c r="J256" s="170"/>
    </row>
    <row r="257" s="156" customFormat="true" ht="12.75" hidden="false" customHeight="false" outlineLevel="0" collapsed="false">
      <c r="A257" s="148"/>
      <c r="B257" s="165"/>
      <c r="C257" s="42"/>
      <c r="D257" s="166" t="s">
        <v>4</v>
      </c>
      <c r="E257" s="160" t="s">
        <v>55</v>
      </c>
      <c r="F257" s="167" t="n">
        <f aca="false">F256</f>
        <v>101647.54</v>
      </c>
      <c r="G257" s="168" t="n">
        <v>3</v>
      </c>
      <c r="H257" s="133" t="n">
        <f aca="false">+G257*F257</f>
        <v>304942.62</v>
      </c>
      <c r="I257" s="186"/>
      <c r="J257" s="170"/>
    </row>
    <row r="258" s="156" customFormat="true" ht="12.75" hidden="false" customHeight="false" outlineLevel="0" collapsed="false">
      <c r="A258" s="148"/>
      <c r="B258" s="165"/>
      <c r="C258" s="42"/>
      <c r="D258" s="166" t="s">
        <v>56</v>
      </c>
      <c r="E258" s="172" t="n">
        <f aca="false">22*3</f>
        <v>66</v>
      </c>
      <c r="F258" s="167" t="n">
        <f aca="false">(F257/150)*2</f>
        <v>1355.30053333333</v>
      </c>
      <c r="G258" s="168" t="n">
        <f aca="false">+F262</f>
        <v>3.25</v>
      </c>
      <c r="H258" s="133" t="n">
        <f aca="false">+G258*F258*E258</f>
        <v>290711.9644</v>
      </c>
      <c r="I258" s="186"/>
      <c r="J258" s="170"/>
    </row>
    <row r="259" s="156" customFormat="true" ht="12.75" hidden="false" customHeight="false" outlineLevel="0" collapsed="false">
      <c r="A259" s="148"/>
      <c r="B259" s="165"/>
      <c r="C259" s="42"/>
      <c r="D259" s="166" t="s">
        <v>57</v>
      </c>
      <c r="E259" s="173" t="s">
        <v>58</v>
      </c>
      <c r="F259" s="167" t="n">
        <v>0</v>
      </c>
      <c r="G259" s="133" t="n">
        <f aca="false">$H$3</f>
        <v>66</v>
      </c>
      <c r="H259" s="133" t="n">
        <f aca="false">+G259*F259</f>
        <v>0</v>
      </c>
      <c r="I259" s="186"/>
      <c r="J259" s="170"/>
    </row>
    <row r="260" s="156" customFormat="true" ht="12.75" hidden="false" customHeight="false" outlineLevel="0" collapsed="false">
      <c r="A260" s="148"/>
      <c r="B260" s="165"/>
      <c r="C260" s="42"/>
      <c r="D260" s="166" t="s">
        <v>59</v>
      </c>
      <c r="E260" s="173" t="s">
        <v>58</v>
      </c>
      <c r="F260" s="167" t="n">
        <v>0</v>
      </c>
      <c r="G260" s="133" t="n">
        <f aca="false">$H$4</f>
        <v>103</v>
      </c>
      <c r="H260" s="133" t="n">
        <f aca="false">+G260*F260</f>
        <v>0</v>
      </c>
      <c r="I260" s="186"/>
      <c r="J260" s="170"/>
    </row>
    <row r="261" s="156" customFormat="true" ht="12.75" hidden="false" customHeight="false" outlineLevel="0" collapsed="false">
      <c r="A261" s="148"/>
      <c r="B261" s="165"/>
      <c r="C261" s="42"/>
      <c r="D261" s="166" t="s">
        <v>60</v>
      </c>
      <c r="E261" s="160" t="s">
        <v>61</v>
      </c>
      <c r="F261" s="167" t="n">
        <f aca="false">E255</f>
        <v>101647.54</v>
      </c>
      <c r="G261" s="133" t="n">
        <v>0</v>
      </c>
      <c r="H261" s="133" t="n">
        <f aca="false">+G261*F261</f>
        <v>0</v>
      </c>
      <c r="I261" s="186"/>
      <c r="J261" s="170"/>
    </row>
    <row r="262" s="156" customFormat="true" ht="12.75" hidden="false" customHeight="false" outlineLevel="0" collapsed="false">
      <c r="A262" s="148"/>
      <c r="B262" s="165"/>
      <c r="C262" s="42"/>
      <c r="D262" s="166" t="s">
        <v>62</v>
      </c>
      <c r="E262" s="173" t="s">
        <v>30</v>
      </c>
      <c r="F262" s="161" t="n">
        <f aca="false">+G256+G257+G261</f>
        <v>3.25</v>
      </c>
      <c r="G262" s="137" t="s">
        <v>63</v>
      </c>
      <c r="H262" s="133" t="n">
        <f aca="false">SUM(H256:H261)</f>
        <v>621066.4694</v>
      </c>
      <c r="I262" s="169"/>
      <c r="J262" s="170"/>
    </row>
    <row r="263" s="156" customFormat="true" ht="12.75" hidden="false" customHeight="false" outlineLevel="0" collapsed="false">
      <c r="A263" s="148"/>
      <c r="B263" s="165"/>
      <c r="C263" s="42"/>
      <c r="D263" s="175" t="s">
        <v>64</v>
      </c>
      <c r="E263" s="173" t="s">
        <v>30</v>
      </c>
      <c r="F263" s="167"/>
      <c r="G263" s="188"/>
      <c r="H263" s="133" t="n">
        <f aca="false">H262*8.33%</f>
        <v>51734.83690102</v>
      </c>
      <c r="I263" s="177"/>
      <c r="J263" s="178"/>
    </row>
    <row r="264" s="156" customFormat="true" ht="12.75" hidden="false" customHeight="false" outlineLevel="0" collapsed="false">
      <c r="A264" s="148"/>
      <c r="B264" s="165"/>
      <c r="C264" s="42"/>
      <c r="D264" s="175" t="s">
        <v>65</v>
      </c>
      <c r="E264" s="167"/>
      <c r="F264" s="167"/>
      <c r="G264" s="180"/>
      <c r="H264" s="133" t="n">
        <f aca="false">H262*7%</f>
        <v>43474.652858</v>
      </c>
      <c r="I264" s="181" t="n">
        <v>0</v>
      </c>
      <c r="J264" s="182" t="n">
        <f aca="false">+(H262+H263+H264)*C255</f>
        <v>1432551.91831804</v>
      </c>
    </row>
    <row r="265" s="156" customFormat="true" ht="12.75" hidden="false" customHeight="false" outlineLevel="0" collapsed="false">
      <c r="A265" s="148"/>
      <c r="B265" s="165"/>
      <c r="C265" s="42"/>
      <c r="D265" s="183"/>
      <c r="E265" s="119"/>
      <c r="F265" s="161"/>
      <c r="G265" s="184"/>
      <c r="H265" s="185"/>
      <c r="I265" s="186"/>
      <c r="J265" s="170"/>
    </row>
    <row r="266" s="156" customFormat="true" ht="15" hidden="false" customHeight="true" outlineLevel="0" collapsed="false">
      <c r="A266" s="148"/>
      <c r="B266" s="149"/>
      <c r="C266" s="145" t="n">
        <v>1</v>
      </c>
      <c r="D266" s="159" t="s">
        <v>82</v>
      </c>
      <c r="E266" s="187" t="n">
        <v>110189.04</v>
      </c>
      <c r="F266" s="161"/>
      <c r="G266" s="190"/>
      <c r="H266" s="162"/>
      <c r="I266" s="191"/>
      <c r="J266" s="164"/>
    </row>
    <row r="267" s="156" customFormat="true" ht="12.75" hidden="false" customHeight="false" outlineLevel="0" collapsed="false">
      <c r="A267" s="148"/>
      <c r="B267" s="165"/>
      <c r="C267" s="42"/>
      <c r="D267" s="166" t="s">
        <v>54</v>
      </c>
      <c r="E267" s="160" t="s">
        <v>55</v>
      </c>
      <c r="F267" s="167" t="n">
        <f aca="false">E266</f>
        <v>110189.04</v>
      </c>
      <c r="G267" s="168" t="n">
        <v>0.25</v>
      </c>
      <c r="H267" s="133" t="n">
        <f aca="false">+G267*F267</f>
        <v>27547.26</v>
      </c>
      <c r="I267" s="186"/>
      <c r="J267" s="170"/>
    </row>
    <row r="268" s="156" customFormat="true" ht="12.75" hidden="false" customHeight="false" outlineLevel="0" collapsed="false">
      <c r="A268" s="148"/>
      <c r="B268" s="165"/>
      <c r="C268" s="42"/>
      <c r="D268" s="166" t="s">
        <v>4</v>
      </c>
      <c r="E268" s="160" t="s">
        <v>55</v>
      </c>
      <c r="F268" s="167" t="n">
        <f aca="false">F267</f>
        <v>110189.04</v>
      </c>
      <c r="G268" s="168" t="n">
        <v>3</v>
      </c>
      <c r="H268" s="133" t="n">
        <f aca="false">+G268*F268</f>
        <v>330567.12</v>
      </c>
      <c r="I268" s="186"/>
      <c r="J268" s="170"/>
    </row>
    <row r="269" s="156" customFormat="true" ht="12.75" hidden="false" customHeight="false" outlineLevel="0" collapsed="false">
      <c r="A269" s="148"/>
      <c r="B269" s="165"/>
      <c r="C269" s="42"/>
      <c r="D269" s="166" t="s">
        <v>56</v>
      </c>
      <c r="E269" s="172" t="n">
        <f aca="false">22*3</f>
        <v>66</v>
      </c>
      <c r="F269" s="167" t="n">
        <f aca="false">(F268/150)*2</f>
        <v>1469.1872</v>
      </c>
      <c r="G269" s="168" t="n">
        <f aca="false">+F273</f>
        <v>3.25</v>
      </c>
      <c r="H269" s="133" t="n">
        <f aca="false">+G269*F269*E269</f>
        <v>315140.6544</v>
      </c>
      <c r="I269" s="186"/>
      <c r="J269" s="170"/>
    </row>
    <row r="270" s="156" customFormat="true" ht="12.75" hidden="false" customHeight="false" outlineLevel="0" collapsed="false">
      <c r="A270" s="148"/>
      <c r="B270" s="165"/>
      <c r="C270" s="42"/>
      <c r="D270" s="166" t="s">
        <v>57</v>
      </c>
      <c r="E270" s="173" t="s">
        <v>58</v>
      </c>
      <c r="F270" s="167" t="n">
        <v>0</v>
      </c>
      <c r="G270" s="133" t="n">
        <f aca="false">$H$3</f>
        <v>66</v>
      </c>
      <c r="H270" s="133" t="n">
        <f aca="false">+G270*F270</f>
        <v>0</v>
      </c>
      <c r="I270" s="186"/>
      <c r="J270" s="170"/>
    </row>
    <row r="271" s="156" customFormat="true" ht="12.75" hidden="false" customHeight="false" outlineLevel="0" collapsed="false">
      <c r="A271" s="148"/>
      <c r="B271" s="165"/>
      <c r="C271" s="42"/>
      <c r="D271" s="166" t="s">
        <v>59</v>
      </c>
      <c r="E271" s="173" t="s">
        <v>58</v>
      </c>
      <c r="F271" s="167" t="n">
        <v>0</v>
      </c>
      <c r="G271" s="133" t="n">
        <f aca="false">$H$4</f>
        <v>103</v>
      </c>
      <c r="H271" s="133" t="n">
        <f aca="false">+G271*F271</f>
        <v>0</v>
      </c>
      <c r="I271" s="186"/>
      <c r="J271" s="170"/>
    </row>
    <row r="272" s="156" customFormat="true" ht="12.75" hidden="false" customHeight="false" outlineLevel="0" collapsed="false">
      <c r="A272" s="148"/>
      <c r="B272" s="165"/>
      <c r="C272" s="42"/>
      <c r="D272" s="166" t="s">
        <v>60</v>
      </c>
      <c r="E272" s="160" t="s">
        <v>61</v>
      </c>
      <c r="F272" s="167" t="n">
        <f aca="false">E266</f>
        <v>110189.04</v>
      </c>
      <c r="G272" s="133" t="n">
        <v>0</v>
      </c>
      <c r="H272" s="133" t="n">
        <f aca="false">+G272*F272</f>
        <v>0</v>
      </c>
      <c r="I272" s="186"/>
      <c r="J272" s="170"/>
    </row>
    <row r="273" s="156" customFormat="true" ht="12.75" hidden="false" customHeight="false" outlineLevel="0" collapsed="false">
      <c r="A273" s="148"/>
      <c r="B273" s="165"/>
      <c r="C273" s="42"/>
      <c r="D273" s="166" t="s">
        <v>62</v>
      </c>
      <c r="E273" s="173" t="s">
        <v>30</v>
      </c>
      <c r="F273" s="161" t="n">
        <f aca="false">+G267+G268+G272</f>
        <v>3.25</v>
      </c>
      <c r="G273" s="137" t="s">
        <v>63</v>
      </c>
      <c r="H273" s="133" t="n">
        <f aca="false">SUM(H267:H272)</f>
        <v>673255.0344</v>
      </c>
      <c r="I273" s="169"/>
      <c r="J273" s="170"/>
    </row>
    <row r="274" s="156" customFormat="true" ht="12.75" hidden="false" customHeight="false" outlineLevel="0" collapsed="false">
      <c r="A274" s="148"/>
      <c r="B274" s="165"/>
      <c r="C274" s="42"/>
      <c r="D274" s="175" t="s">
        <v>64</v>
      </c>
      <c r="E274" s="173" t="s">
        <v>30</v>
      </c>
      <c r="F274" s="167"/>
      <c r="G274" s="188"/>
      <c r="H274" s="133" t="n">
        <f aca="false">H273*8.33%</f>
        <v>56082.14436552</v>
      </c>
      <c r="I274" s="177"/>
      <c r="J274" s="178"/>
    </row>
    <row r="275" s="156" customFormat="true" ht="12.75" hidden="false" customHeight="false" outlineLevel="0" collapsed="false">
      <c r="A275" s="148"/>
      <c r="B275" s="165"/>
      <c r="C275" s="42"/>
      <c r="D275" s="175" t="s">
        <v>65</v>
      </c>
      <c r="E275" s="167"/>
      <c r="F275" s="167"/>
      <c r="G275" s="180"/>
      <c r="H275" s="133" t="n">
        <f aca="false">H273*7%</f>
        <v>47127.852408</v>
      </c>
      <c r="I275" s="181" t="n">
        <v>0</v>
      </c>
      <c r="J275" s="182" t="n">
        <f aca="false">+(H273+H274+H275)*C266</f>
        <v>776465.03117352</v>
      </c>
    </row>
    <row r="276" s="156" customFormat="true" ht="12.75" hidden="false" customHeight="false" outlineLevel="0" collapsed="false">
      <c r="A276" s="148"/>
      <c r="B276" s="165"/>
      <c r="C276" s="42"/>
      <c r="D276" s="183"/>
      <c r="E276" s="189"/>
      <c r="F276" s="161"/>
      <c r="G276" s="184"/>
      <c r="H276" s="185"/>
      <c r="I276" s="186"/>
      <c r="J276" s="170"/>
    </row>
    <row r="277" s="156" customFormat="true" ht="15" hidden="false" customHeight="true" outlineLevel="0" collapsed="false">
      <c r="A277" s="148"/>
      <c r="B277" s="149"/>
      <c r="C277" s="145" t="n">
        <v>1</v>
      </c>
      <c r="D277" s="159" t="s">
        <v>83</v>
      </c>
      <c r="E277" s="187" t="n">
        <v>148536.84</v>
      </c>
      <c r="F277" s="161"/>
      <c r="G277" s="190"/>
      <c r="H277" s="162"/>
      <c r="I277" s="191"/>
      <c r="J277" s="164"/>
    </row>
    <row r="278" s="156" customFormat="true" ht="12.75" hidden="false" customHeight="false" outlineLevel="0" collapsed="false">
      <c r="A278" s="148"/>
      <c r="B278" s="165"/>
      <c r="C278" s="42"/>
      <c r="D278" s="166" t="s">
        <v>54</v>
      </c>
      <c r="E278" s="160" t="s">
        <v>55</v>
      </c>
      <c r="F278" s="167" t="n">
        <f aca="false">E277</f>
        <v>148536.84</v>
      </c>
      <c r="G278" s="168" t="n">
        <v>0.25</v>
      </c>
      <c r="H278" s="133" t="n">
        <f aca="false">+G278*F278</f>
        <v>37134.21</v>
      </c>
      <c r="I278" s="186"/>
      <c r="J278" s="170"/>
    </row>
    <row r="279" s="156" customFormat="true" ht="12.75" hidden="false" customHeight="false" outlineLevel="0" collapsed="false">
      <c r="A279" s="148"/>
      <c r="B279" s="165"/>
      <c r="C279" s="42"/>
      <c r="D279" s="166" t="s">
        <v>4</v>
      </c>
      <c r="E279" s="160" t="s">
        <v>55</v>
      </c>
      <c r="F279" s="167" t="n">
        <f aca="false">F278</f>
        <v>148536.84</v>
      </c>
      <c r="G279" s="168" t="n">
        <v>3</v>
      </c>
      <c r="H279" s="133" t="n">
        <f aca="false">+G279*F279</f>
        <v>445610.52</v>
      </c>
      <c r="I279" s="186"/>
      <c r="J279" s="170"/>
    </row>
    <row r="280" s="156" customFormat="true" ht="12.75" hidden="false" customHeight="false" outlineLevel="0" collapsed="false">
      <c r="A280" s="148"/>
      <c r="B280" s="165"/>
      <c r="C280" s="42"/>
      <c r="D280" s="166" t="s">
        <v>56</v>
      </c>
      <c r="E280" s="172" t="n">
        <f aca="false">22*3</f>
        <v>66</v>
      </c>
      <c r="F280" s="167" t="n">
        <f aca="false">(F279/150)*2</f>
        <v>1980.4912</v>
      </c>
      <c r="G280" s="168" t="n">
        <f aca="false">+F284</f>
        <v>3.25</v>
      </c>
      <c r="H280" s="133" t="n">
        <f aca="false">+G280*F280*E280</f>
        <v>424815.3624</v>
      </c>
      <c r="I280" s="186"/>
      <c r="J280" s="170"/>
    </row>
    <row r="281" s="156" customFormat="true" ht="12.75" hidden="false" customHeight="false" outlineLevel="0" collapsed="false">
      <c r="A281" s="148"/>
      <c r="B281" s="165"/>
      <c r="C281" s="42"/>
      <c r="D281" s="166" t="s">
        <v>57</v>
      </c>
      <c r="E281" s="173" t="s">
        <v>58</v>
      </c>
      <c r="F281" s="167" t="n">
        <v>0</v>
      </c>
      <c r="G281" s="133" t="n">
        <f aca="false">$H$3</f>
        <v>66</v>
      </c>
      <c r="H281" s="133" t="n">
        <f aca="false">+G281*F281</f>
        <v>0</v>
      </c>
      <c r="I281" s="186"/>
      <c r="J281" s="170"/>
    </row>
    <row r="282" s="156" customFormat="true" ht="12.75" hidden="false" customHeight="false" outlineLevel="0" collapsed="false">
      <c r="A282" s="148"/>
      <c r="B282" s="165"/>
      <c r="C282" s="42"/>
      <c r="D282" s="166" t="s">
        <v>59</v>
      </c>
      <c r="E282" s="173" t="s">
        <v>58</v>
      </c>
      <c r="F282" s="167" t="n">
        <v>0</v>
      </c>
      <c r="G282" s="133" t="n">
        <f aca="false">$H$4</f>
        <v>103</v>
      </c>
      <c r="H282" s="133" t="n">
        <f aca="false">+G282*F282</f>
        <v>0</v>
      </c>
      <c r="I282" s="186"/>
      <c r="J282" s="170"/>
    </row>
    <row r="283" s="156" customFormat="true" ht="12.75" hidden="false" customHeight="false" outlineLevel="0" collapsed="false">
      <c r="A283" s="148"/>
      <c r="B283" s="165"/>
      <c r="C283" s="42"/>
      <c r="D283" s="166" t="s">
        <v>60</v>
      </c>
      <c r="E283" s="160" t="s">
        <v>61</v>
      </c>
      <c r="F283" s="167" t="n">
        <f aca="false">E277</f>
        <v>148536.84</v>
      </c>
      <c r="G283" s="133" t="n">
        <v>0</v>
      </c>
      <c r="H283" s="133" t="n">
        <f aca="false">+G283*F283</f>
        <v>0</v>
      </c>
      <c r="I283" s="186"/>
      <c r="J283" s="170"/>
    </row>
    <row r="284" s="156" customFormat="true" ht="12.75" hidden="false" customHeight="false" outlineLevel="0" collapsed="false">
      <c r="A284" s="148"/>
      <c r="B284" s="165"/>
      <c r="C284" s="42"/>
      <c r="D284" s="166" t="s">
        <v>62</v>
      </c>
      <c r="E284" s="173" t="s">
        <v>30</v>
      </c>
      <c r="F284" s="161" t="n">
        <f aca="false">+G278+G279+G283</f>
        <v>3.25</v>
      </c>
      <c r="G284" s="137" t="s">
        <v>63</v>
      </c>
      <c r="H284" s="133" t="n">
        <f aca="false">SUM(H278:H283)</f>
        <v>907560.0924</v>
      </c>
      <c r="I284" s="169"/>
      <c r="J284" s="170"/>
    </row>
    <row r="285" s="156" customFormat="true" ht="12.75" hidden="false" customHeight="false" outlineLevel="0" collapsed="false">
      <c r="A285" s="148"/>
      <c r="B285" s="165"/>
      <c r="C285" s="42"/>
      <c r="D285" s="175" t="s">
        <v>64</v>
      </c>
      <c r="E285" s="173" t="s">
        <v>30</v>
      </c>
      <c r="F285" s="167"/>
      <c r="G285" s="188"/>
      <c r="H285" s="133" t="n">
        <f aca="false">H284*8.33%</f>
        <v>75599.75569692</v>
      </c>
      <c r="I285" s="177"/>
      <c r="J285" s="178"/>
    </row>
    <row r="286" s="156" customFormat="true" ht="12.75" hidden="false" customHeight="false" outlineLevel="0" collapsed="false">
      <c r="A286" s="148"/>
      <c r="B286" s="165"/>
      <c r="C286" s="42"/>
      <c r="D286" s="175" t="s">
        <v>65</v>
      </c>
      <c r="E286" s="167"/>
      <c r="F286" s="167"/>
      <c r="G286" s="180"/>
      <c r="H286" s="133" t="n">
        <f aca="false">H284*7%</f>
        <v>63529.206468</v>
      </c>
      <c r="I286" s="181" t="n">
        <v>0</v>
      </c>
      <c r="J286" s="182" t="n">
        <f aca="false">+(H284+H285+H286)*C277</f>
        <v>1046689.05456492</v>
      </c>
    </row>
    <row r="287" s="156" customFormat="true" ht="12.75" hidden="false" customHeight="false" outlineLevel="0" collapsed="false">
      <c r="A287" s="148"/>
      <c r="B287" s="165"/>
      <c r="C287" s="42"/>
      <c r="D287" s="183"/>
      <c r="E287" s="189"/>
      <c r="F287" s="161"/>
      <c r="G287" s="184"/>
      <c r="H287" s="185"/>
      <c r="I287" s="186"/>
      <c r="J287" s="170"/>
    </row>
    <row r="288" s="156" customFormat="true" ht="15" hidden="false" customHeight="true" outlineLevel="0" collapsed="false">
      <c r="A288" s="148"/>
      <c r="B288" s="149"/>
      <c r="C288" s="145" t="n">
        <v>1</v>
      </c>
      <c r="D288" s="159" t="s">
        <v>84</v>
      </c>
      <c r="E288" s="187" t="n">
        <v>119536.84</v>
      </c>
      <c r="F288" s="161"/>
      <c r="G288" s="190"/>
      <c r="H288" s="162"/>
      <c r="I288" s="191"/>
      <c r="J288" s="164"/>
    </row>
    <row r="289" s="156" customFormat="true" ht="12.75" hidden="false" customHeight="false" outlineLevel="0" collapsed="false">
      <c r="A289" s="148"/>
      <c r="B289" s="165"/>
      <c r="C289" s="42"/>
      <c r="D289" s="166" t="s">
        <v>54</v>
      </c>
      <c r="E289" s="193" t="s">
        <v>85</v>
      </c>
      <c r="F289" s="167" t="n">
        <f aca="false">E288</f>
        <v>119536.84</v>
      </c>
      <c r="G289" s="168" t="n">
        <v>1</v>
      </c>
      <c r="H289" s="133" t="n">
        <f aca="false">+G289*F289</f>
        <v>119536.84</v>
      </c>
      <c r="I289" s="186"/>
      <c r="J289" s="170"/>
    </row>
    <row r="290" s="156" customFormat="true" ht="12.75" hidden="false" customHeight="false" outlineLevel="0" collapsed="false">
      <c r="A290" s="148"/>
      <c r="B290" s="165"/>
      <c r="C290" s="42"/>
      <c r="D290" s="166" t="s">
        <v>4</v>
      </c>
      <c r="E290" s="194" t="s">
        <v>85</v>
      </c>
      <c r="F290" s="167" t="n">
        <f aca="false">F289</f>
        <v>119536.84</v>
      </c>
      <c r="G290" s="168" t="n">
        <v>3</v>
      </c>
      <c r="H290" s="133" t="n">
        <f aca="false">+G290*F290</f>
        <v>358610.52</v>
      </c>
      <c r="I290" s="186"/>
      <c r="J290" s="170"/>
    </row>
    <row r="291" s="156" customFormat="true" ht="12.75" hidden="false" customHeight="false" outlineLevel="0" collapsed="false">
      <c r="A291" s="148"/>
      <c r="B291" s="165"/>
      <c r="C291" s="42"/>
      <c r="D291" s="166" t="s">
        <v>56</v>
      </c>
      <c r="E291" s="172" t="n">
        <f aca="false">22*3</f>
        <v>66</v>
      </c>
      <c r="F291" s="167" t="n">
        <f aca="false">(F290/150)*2</f>
        <v>1593.82453333333</v>
      </c>
      <c r="G291" s="168" t="n">
        <f aca="false">+F295</f>
        <v>4</v>
      </c>
      <c r="H291" s="133" t="n">
        <f aca="false">+G291*F291*E291</f>
        <v>420769.6768</v>
      </c>
      <c r="I291" s="186"/>
      <c r="J291" s="170"/>
    </row>
    <row r="292" s="156" customFormat="true" ht="12.75" hidden="false" customHeight="false" outlineLevel="0" collapsed="false">
      <c r="A292" s="148"/>
      <c r="B292" s="165"/>
      <c r="C292" s="42"/>
      <c r="D292" s="166" t="s">
        <v>57</v>
      </c>
      <c r="E292" s="195" t="s">
        <v>58</v>
      </c>
      <c r="F292" s="167" t="n">
        <v>0</v>
      </c>
      <c r="G292" s="133" t="n">
        <f aca="false">$H$3</f>
        <v>66</v>
      </c>
      <c r="H292" s="133" t="n">
        <f aca="false">+G292*F292</f>
        <v>0</v>
      </c>
      <c r="I292" s="186"/>
      <c r="J292" s="170"/>
    </row>
    <row r="293" s="156" customFormat="true" ht="12.75" hidden="false" customHeight="false" outlineLevel="0" collapsed="false">
      <c r="A293" s="148"/>
      <c r="B293" s="165"/>
      <c r="C293" s="42"/>
      <c r="D293" s="166" t="s">
        <v>59</v>
      </c>
      <c r="E293" s="195" t="s">
        <v>58</v>
      </c>
      <c r="F293" s="167" t="n">
        <v>0</v>
      </c>
      <c r="G293" s="133" t="n">
        <f aca="false">$H$4</f>
        <v>103</v>
      </c>
      <c r="H293" s="133" t="n">
        <f aca="false">+G293*F293</f>
        <v>0</v>
      </c>
      <c r="I293" s="186"/>
      <c r="J293" s="170"/>
    </row>
    <row r="294" s="156" customFormat="true" ht="12.75" hidden="false" customHeight="false" outlineLevel="0" collapsed="false">
      <c r="A294" s="148"/>
      <c r="B294" s="165"/>
      <c r="C294" s="42"/>
      <c r="D294" s="166" t="s">
        <v>60</v>
      </c>
      <c r="E294" s="194" t="s">
        <v>86</v>
      </c>
      <c r="F294" s="167" t="n">
        <f aca="false">E288</f>
        <v>119536.84</v>
      </c>
      <c r="G294" s="133" t="n">
        <v>0</v>
      </c>
      <c r="H294" s="133" t="n">
        <f aca="false">+G294*F294</f>
        <v>0</v>
      </c>
      <c r="I294" s="186"/>
      <c r="J294" s="170"/>
    </row>
    <row r="295" s="156" customFormat="true" ht="12.75" hidden="false" customHeight="false" outlineLevel="0" collapsed="false">
      <c r="A295" s="148"/>
      <c r="B295" s="165"/>
      <c r="C295" s="42"/>
      <c r="D295" s="166" t="s">
        <v>62</v>
      </c>
      <c r="E295" s="195" t="s">
        <v>30</v>
      </c>
      <c r="F295" s="161" t="n">
        <f aca="false">+G289+G290+G294</f>
        <v>4</v>
      </c>
      <c r="G295" s="137" t="s">
        <v>63</v>
      </c>
      <c r="H295" s="133" t="n">
        <f aca="false">SUM(H289:H294)</f>
        <v>898917.0368</v>
      </c>
      <c r="I295" s="169"/>
      <c r="J295" s="170"/>
    </row>
    <row r="296" s="156" customFormat="true" ht="12.75" hidden="false" customHeight="false" outlineLevel="0" collapsed="false">
      <c r="A296" s="148"/>
      <c r="B296" s="165"/>
      <c r="C296" s="42"/>
      <c r="D296" s="175" t="s">
        <v>64</v>
      </c>
      <c r="E296" s="173" t="s">
        <v>30</v>
      </c>
      <c r="F296" s="167"/>
      <c r="G296" s="188"/>
      <c r="H296" s="133" t="n">
        <f aca="false">H295*8.33%</f>
        <v>74879.78916544</v>
      </c>
      <c r="I296" s="177"/>
      <c r="J296" s="178"/>
    </row>
    <row r="297" s="156" customFormat="true" ht="12.75" hidden="false" customHeight="false" outlineLevel="0" collapsed="false">
      <c r="A297" s="148"/>
      <c r="B297" s="165"/>
      <c r="C297" s="42"/>
      <c r="D297" s="175" t="s">
        <v>65</v>
      </c>
      <c r="E297" s="167"/>
      <c r="F297" s="167"/>
      <c r="G297" s="180"/>
      <c r="H297" s="133" t="n">
        <f aca="false">H295*7%</f>
        <v>62924.192576</v>
      </c>
      <c r="I297" s="181" t="n">
        <v>0</v>
      </c>
      <c r="J297" s="182" t="n">
        <f aca="false">+(H295+H296+H297)*C288</f>
        <v>1036721.01854144</v>
      </c>
    </row>
    <row r="298" s="156" customFormat="true" ht="12.75" hidden="false" customHeight="false" outlineLevel="0" collapsed="false">
      <c r="A298" s="148"/>
      <c r="B298" s="165"/>
      <c r="C298" s="42"/>
      <c r="D298" s="183"/>
      <c r="E298" s="119"/>
      <c r="F298" s="161"/>
      <c r="G298" s="184"/>
      <c r="H298" s="185"/>
      <c r="I298" s="186"/>
      <c r="J298" s="170"/>
    </row>
    <row r="299" s="156" customFormat="true" ht="15" hidden="false" customHeight="true" outlineLevel="0" collapsed="false">
      <c r="A299" s="148"/>
      <c r="B299" s="149"/>
      <c r="C299" s="145" t="n">
        <v>2</v>
      </c>
      <c r="D299" s="159" t="s">
        <v>87</v>
      </c>
      <c r="E299" s="187" t="n">
        <v>94045.75</v>
      </c>
      <c r="F299" s="167"/>
      <c r="G299" s="190"/>
      <c r="H299" s="162"/>
      <c r="I299" s="191"/>
      <c r="J299" s="164"/>
    </row>
    <row r="300" s="156" customFormat="true" ht="12.75" hidden="false" customHeight="false" outlineLevel="0" collapsed="false">
      <c r="A300" s="148"/>
      <c r="B300" s="165"/>
      <c r="C300" s="42"/>
      <c r="D300" s="166" t="s">
        <v>54</v>
      </c>
      <c r="E300" s="193" t="s">
        <v>85</v>
      </c>
      <c r="F300" s="167" t="n">
        <f aca="false">E299</f>
        <v>94045.75</v>
      </c>
      <c r="G300" s="168" t="n">
        <v>0.25</v>
      </c>
      <c r="H300" s="133" t="n">
        <f aca="false">+G300*F300</f>
        <v>23511.4375</v>
      </c>
      <c r="I300" s="186"/>
      <c r="J300" s="170"/>
    </row>
    <row r="301" s="156" customFormat="true" ht="12.75" hidden="false" customHeight="false" outlineLevel="0" collapsed="false">
      <c r="A301" s="148"/>
      <c r="B301" s="165"/>
      <c r="C301" s="42"/>
      <c r="D301" s="166" t="s">
        <v>4</v>
      </c>
      <c r="E301" s="194" t="s">
        <v>85</v>
      </c>
      <c r="F301" s="167" t="n">
        <f aca="false">F300</f>
        <v>94045.75</v>
      </c>
      <c r="G301" s="168" t="n">
        <v>3</v>
      </c>
      <c r="H301" s="133" t="n">
        <f aca="false">+G301*F301</f>
        <v>282137.25</v>
      </c>
      <c r="I301" s="186"/>
      <c r="J301" s="170"/>
    </row>
    <row r="302" s="156" customFormat="true" ht="12.75" hidden="false" customHeight="false" outlineLevel="0" collapsed="false">
      <c r="A302" s="148"/>
      <c r="B302" s="165"/>
      <c r="C302" s="42"/>
      <c r="D302" s="166" t="s">
        <v>56</v>
      </c>
      <c r="E302" s="172" t="n">
        <f aca="false">22*3</f>
        <v>66</v>
      </c>
      <c r="F302" s="167" t="n">
        <f aca="false">(F301/150)*2</f>
        <v>1253.94333333333</v>
      </c>
      <c r="G302" s="168" t="n">
        <f aca="false">+F306</f>
        <v>3.25</v>
      </c>
      <c r="H302" s="133" t="n">
        <f aca="false">+G302*F302*E302</f>
        <v>268970.845</v>
      </c>
      <c r="I302" s="186"/>
      <c r="J302" s="170"/>
    </row>
    <row r="303" s="156" customFormat="true" ht="12.75" hidden="false" customHeight="false" outlineLevel="0" collapsed="false">
      <c r="A303" s="148"/>
      <c r="B303" s="165"/>
      <c r="C303" s="42"/>
      <c r="D303" s="166" t="s">
        <v>57</v>
      </c>
      <c r="E303" s="195" t="s">
        <v>58</v>
      </c>
      <c r="F303" s="167" t="n">
        <f aca="false">F299/5*1.5</f>
        <v>0</v>
      </c>
      <c r="G303" s="133" t="n">
        <f aca="false">$H$3</f>
        <v>66</v>
      </c>
      <c r="H303" s="133" t="n">
        <f aca="false">+G303*F303</f>
        <v>0</v>
      </c>
      <c r="I303" s="186"/>
      <c r="J303" s="170"/>
    </row>
    <row r="304" s="156" customFormat="true" ht="12.75" hidden="false" customHeight="false" outlineLevel="0" collapsed="false">
      <c r="A304" s="148"/>
      <c r="B304" s="165"/>
      <c r="C304" s="42"/>
      <c r="D304" s="166" t="s">
        <v>59</v>
      </c>
      <c r="E304" s="195" t="s">
        <v>58</v>
      </c>
      <c r="F304" s="167" t="n">
        <f aca="false">F299/5*2</f>
        <v>0</v>
      </c>
      <c r="G304" s="133" t="n">
        <f aca="false">$H$4</f>
        <v>103</v>
      </c>
      <c r="H304" s="133" t="n">
        <f aca="false">+G304*F304</f>
        <v>0</v>
      </c>
      <c r="I304" s="186"/>
      <c r="J304" s="170"/>
    </row>
    <row r="305" s="156" customFormat="true" ht="12.75" hidden="false" customHeight="false" outlineLevel="0" collapsed="false">
      <c r="A305" s="148"/>
      <c r="B305" s="165"/>
      <c r="C305" s="42"/>
      <c r="D305" s="166" t="s">
        <v>60</v>
      </c>
      <c r="E305" s="194" t="s">
        <v>86</v>
      </c>
      <c r="F305" s="167" t="n">
        <f aca="false">F299</f>
        <v>0</v>
      </c>
      <c r="G305" s="133" t="n">
        <v>0</v>
      </c>
      <c r="H305" s="133" t="n">
        <f aca="false">+G305*F305</f>
        <v>0</v>
      </c>
      <c r="I305" s="186"/>
      <c r="J305" s="170"/>
    </row>
    <row r="306" s="156" customFormat="true" ht="12.75" hidden="false" customHeight="false" outlineLevel="0" collapsed="false">
      <c r="A306" s="148"/>
      <c r="B306" s="165"/>
      <c r="C306" s="42"/>
      <c r="D306" s="166" t="s">
        <v>62</v>
      </c>
      <c r="E306" s="195" t="s">
        <v>30</v>
      </c>
      <c r="F306" s="161" t="n">
        <f aca="false">+G300+G301+G305</f>
        <v>3.25</v>
      </c>
      <c r="G306" s="137" t="s">
        <v>63</v>
      </c>
      <c r="H306" s="133" t="n">
        <f aca="false">SUM(H300:H305)</f>
        <v>574619.5325</v>
      </c>
      <c r="I306" s="169"/>
      <c r="J306" s="170"/>
    </row>
    <row r="307" s="156" customFormat="true" ht="12.75" hidden="false" customHeight="false" outlineLevel="0" collapsed="false">
      <c r="A307" s="148"/>
      <c r="B307" s="165"/>
      <c r="C307" s="42"/>
      <c r="D307" s="175" t="s">
        <v>64</v>
      </c>
      <c r="E307" s="173" t="s">
        <v>30</v>
      </c>
      <c r="F307" s="167"/>
      <c r="G307" s="188"/>
      <c r="H307" s="133" t="n">
        <f aca="false">H306*8.33%</f>
        <v>47865.80705725</v>
      </c>
      <c r="I307" s="177"/>
      <c r="J307" s="178"/>
    </row>
    <row r="308" s="156" customFormat="true" ht="12.75" hidden="false" customHeight="false" outlineLevel="0" collapsed="false">
      <c r="A308" s="148"/>
      <c r="B308" s="165"/>
      <c r="C308" s="42"/>
      <c r="D308" s="175" t="s">
        <v>65</v>
      </c>
      <c r="E308" s="167"/>
      <c r="F308" s="167"/>
      <c r="G308" s="180"/>
      <c r="H308" s="133" t="n">
        <f aca="false">H306*7%</f>
        <v>40223.367275</v>
      </c>
      <c r="I308" s="181" t="n">
        <v>0</v>
      </c>
      <c r="J308" s="182" t="n">
        <f aca="false">+(H306+H307+H308)*C299</f>
        <v>1325417.4136645</v>
      </c>
    </row>
    <row r="309" s="156" customFormat="true" ht="12.75" hidden="false" customHeight="false" outlineLevel="0" collapsed="false">
      <c r="A309" s="148"/>
      <c r="B309" s="165"/>
      <c r="C309" s="42"/>
      <c r="D309" s="183"/>
      <c r="E309" s="119"/>
      <c r="F309" s="161"/>
      <c r="G309" s="184"/>
      <c r="H309" s="185"/>
      <c r="I309" s="186"/>
      <c r="J309" s="170"/>
    </row>
    <row r="310" s="156" customFormat="true" ht="15" hidden="false" customHeight="true" outlineLevel="0" collapsed="false">
      <c r="A310" s="148"/>
      <c r="B310" s="149"/>
      <c r="C310" s="145" t="n">
        <v>1</v>
      </c>
      <c r="D310" s="159" t="s">
        <v>88</v>
      </c>
      <c r="E310" s="187" t="n">
        <v>94045.75</v>
      </c>
      <c r="F310" s="161"/>
      <c r="G310" s="190"/>
      <c r="H310" s="162"/>
      <c r="I310" s="191"/>
      <c r="J310" s="164"/>
    </row>
    <row r="311" s="156" customFormat="true" ht="12.75" hidden="false" customHeight="false" outlineLevel="0" collapsed="false">
      <c r="A311" s="148"/>
      <c r="B311" s="165"/>
      <c r="C311" s="42"/>
      <c r="D311" s="166" t="s">
        <v>54</v>
      </c>
      <c r="E311" s="193" t="s">
        <v>85</v>
      </c>
      <c r="F311" s="167" t="n">
        <f aca="false">E310</f>
        <v>94045.75</v>
      </c>
      <c r="G311" s="168" t="n">
        <v>0.25</v>
      </c>
      <c r="H311" s="133" t="n">
        <f aca="false">+G311*F311</f>
        <v>23511.4375</v>
      </c>
      <c r="I311" s="186"/>
      <c r="J311" s="170"/>
    </row>
    <row r="312" s="156" customFormat="true" ht="12.75" hidden="false" customHeight="false" outlineLevel="0" collapsed="false">
      <c r="A312" s="148"/>
      <c r="B312" s="165"/>
      <c r="C312" s="42"/>
      <c r="D312" s="166" t="s">
        <v>4</v>
      </c>
      <c r="E312" s="194" t="s">
        <v>85</v>
      </c>
      <c r="F312" s="167" t="n">
        <f aca="false">F311</f>
        <v>94045.75</v>
      </c>
      <c r="G312" s="168" t="n">
        <v>3</v>
      </c>
      <c r="H312" s="133" t="n">
        <f aca="false">+G312*F312</f>
        <v>282137.25</v>
      </c>
      <c r="I312" s="186"/>
      <c r="J312" s="170"/>
    </row>
    <row r="313" s="156" customFormat="true" ht="12.75" hidden="false" customHeight="false" outlineLevel="0" collapsed="false">
      <c r="A313" s="148"/>
      <c r="B313" s="165"/>
      <c r="C313" s="42"/>
      <c r="D313" s="166" t="s">
        <v>56</v>
      </c>
      <c r="E313" s="172" t="n">
        <f aca="false">22*3</f>
        <v>66</v>
      </c>
      <c r="F313" s="167" t="n">
        <f aca="false">(F312/150)*2</f>
        <v>1253.94333333333</v>
      </c>
      <c r="G313" s="168" t="n">
        <f aca="false">+F317</f>
        <v>3.25</v>
      </c>
      <c r="H313" s="133" t="n">
        <f aca="false">+G313*F313*E313</f>
        <v>268970.845</v>
      </c>
      <c r="I313" s="186"/>
      <c r="J313" s="170"/>
    </row>
    <row r="314" s="156" customFormat="true" ht="12.75" hidden="false" customHeight="false" outlineLevel="0" collapsed="false">
      <c r="A314" s="148"/>
      <c r="B314" s="165"/>
      <c r="C314" s="42"/>
      <c r="D314" s="166" t="s">
        <v>57</v>
      </c>
      <c r="E314" s="195" t="s">
        <v>58</v>
      </c>
      <c r="F314" s="167" t="n">
        <v>0</v>
      </c>
      <c r="G314" s="133" t="n">
        <f aca="false">$H$3</f>
        <v>66</v>
      </c>
      <c r="H314" s="133" t="n">
        <f aca="false">+G314*F314</f>
        <v>0</v>
      </c>
      <c r="I314" s="186"/>
      <c r="J314" s="170"/>
    </row>
    <row r="315" s="156" customFormat="true" ht="12.75" hidden="false" customHeight="false" outlineLevel="0" collapsed="false">
      <c r="A315" s="148"/>
      <c r="B315" s="165"/>
      <c r="C315" s="42"/>
      <c r="D315" s="166" t="s">
        <v>59</v>
      </c>
      <c r="E315" s="195" t="s">
        <v>58</v>
      </c>
      <c r="F315" s="167" t="n">
        <v>0</v>
      </c>
      <c r="G315" s="133" t="n">
        <f aca="false">$H$4</f>
        <v>103</v>
      </c>
      <c r="H315" s="133" t="n">
        <f aca="false">+G315*F315</f>
        <v>0</v>
      </c>
      <c r="I315" s="186"/>
      <c r="J315" s="170"/>
    </row>
    <row r="316" s="156" customFormat="true" ht="12.75" hidden="false" customHeight="false" outlineLevel="0" collapsed="false">
      <c r="A316" s="148"/>
      <c r="B316" s="165"/>
      <c r="C316" s="42"/>
      <c r="D316" s="166" t="s">
        <v>60</v>
      </c>
      <c r="E316" s="194" t="s">
        <v>86</v>
      </c>
      <c r="F316" s="167" t="n">
        <f aca="false">E310</f>
        <v>94045.75</v>
      </c>
      <c r="G316" s="133" t="n">
        <v>0</v>
      </c>
      <c r="H316" s="133" t="n">
        <f aca="false">+G316*F316</f>
        <v>0</v>
      </c>
      <c r="I316" s="186"/>
      <c r="J316" s="170"/>
    </row>
    <row r="317" s="156" customFormat="true" ht="12.75" hidden="false" customHeight="false" outlineLevel="0" collapsed="false">
      <c r="A317" s="148"/>
      <c r="B317" s="165"/>
      <c r="C317" s="42"/>
      <c r="D317" s="166" t="s">
        <v>62</v>
      </c>
      <c r="E317" s="195" t="s">
        <v>30</v>
      </c>
      <c r="F317" s="161" t="n">
        <f aca="false">+G311+G312+G316</f>
        <v>3.25</v>
      </c>
      <c r="G317" s="137" t="s">
        <v>63</v>
      </c>
      <c r="H317" s="133" t="n">
        <f aca="false">SUM(H311:H316)</f>
        <v>574619.5325</v>
      </c>
      <c r="I317" s="169"/>
      <c r="J317" s="170"/>
    </row>
    <row r="318" s="156" customFormat="true" ht="12.75" hidden="false" customHeight="false" outlineLevel="0" collapsed="false">
      <c r="A318" s="148"/>
      <c r="B318" s="165"/>
      <c r="C318" s="42"/>
      <c r="D318" s="175" t="s">
        <v>64</v>
      </c>
      <c r="E318" s="173" t="s">
        <v>30</v>
      </c>
      <c r="F318" s="167"/>
      <c r="G318" s="188"/>
      <c r="H318" s="133" t="n">
        <f aca="false">H317*8.33%</f>
        <v>47865.80705725</v>
      </c>
      <c r="I318" s="177"/>
      <c r="J318" s="178"/>
    </row>
    <row r="319" s="156" customFormat="true" ht="12.75" hidden="false" customHeight="false" outlineLevel="0" collapsed="false">
      <c r="A319" s="148"/>
      <c r="B319" s="165"/>
      <c r="C319" s="42"/>
      <c r="D319" s="175" t="s">
        <v>65</v>
      </c>
      <c r="E319" s="167"/>
      <c r="F319" s="167"/>
      <c r="G319" s="180"/>
      <c r="H319" s="133" t="n">
        <f aca="false">H317*7%</f>
        <v>40223.367275</v>
      </c>
      <c r="I319" s="181" t="n">
        <v>0</v>
      </c>
      <c r="J319" s="182" t="n">
        <f aca="false">+(H317+H318+H319)*C310</f>
        <v>662708.70683225</v>
      </c>
    </row>
    <row r="320" s="156" customFormat="true" ht="12.75" hidden="false" customHeight="false" outlineLevel="0" collapsed="false">
      <c r="A320" s="148"/>
      <c r="B320" s="165"/>
      <c r="C320" s="42"/>
      <c r="D320" s="183"/>
      <c r="E320" s="119"/>
      <c r="F320" s="161"/>
      <c r="G320" s="184"/>
      <c r="H320" s="185"/>
      <c r="I320" s="186"/>
      <c r="J320" s="170"/>
    </row>
    <row r="321" s="156" customFormat="true" ht="15" hidden="false" customHeight="true" outlineLevel="0" collapsed="false">
      <c r="A321" s="148"/>
      <c r="B321" s="149"/>
      <c r="C321" s="145" t="n">
        <v>1</v>
      </c>
      <c r="D321" s="159" t="s">
        <v>89</v>
      </c>
      <c r="E321" s="187" t="n">
        <v>171110.03</v>
      </c>
      <c r="F321" s="161"/>
      <c r="G321" s="190"/>
      <c r="H321" s="162"/>
      <c r="I321" s="191"/>
      <c r="J321" s="164"/>
    </row>
    <row r="322" s="156" customFormat="true" ht="12.75" hidden="false" customHeight="false" outlineLevel="0" collapsed="false">
      <c r="A322" s="148"/>
      <c r="B322" s="165"/>
      <c r="C322" s="42"/>
      <c r="D322" s="166" t="s">
        <v>54</v>
      </c>
      <c r="E322" s="193" t="s">
        <v>85</v>
      </c>
      <c r="F322" s="167" t="n">
        <f aca="false">E321</f>
        <v>171110.03</v>
      </c>
      <c r="G322" s="168" t="n">
        <v>2.5</v>
      </c>
      <c r="H322" s="133" t="n">
        <f aca="false">+G322*F322</f>
        <v>427775.075</v>
      </c>
      <c r="I322" s="186"/>
      <c r="J322" s="170"/>
    </row>
    <row r="323" s="156" customFormat="true" ht="12.75" hidden="false" customHeight="false" outlineLevel="0" collapsed="false">
      <c r="A323" s="148"/>
      <c r="B323" s="165"/>
      <c r="C323" s="42"/>
      <c r="D323" s="166" t="s">
        <v>4</v>
      </c>
      <c r="E323" s="194" t="s">
        <v>85</v>
      </c>
      <c r="F323" s="167" t="n">
        <f aca="false">F322</f>
        <v>171110.03</v>
      </c>
      <c r="G323" s="168" t="n">
        <v>3</v>
      </c>
      <c r="H323" s="133" t="n">
        <f aca="false">+G323*F323</f>
        <v>513330.09</v>
      </c>
      <c r="I323" s="186"/>
      <c r="J323" s="170"/>
    </row>
    <row r="324" s="156" customFormat="true" ht="12.75" hidden="false" customHeight="false" outlineLevel="0" collapsed="false">
      <c r="A324" s="148"/>
      <c r="B324" s="165"/>
      <c r="C324" s="42"/>
      <c r="D324" s="166" t="s">
        <v>56</v>
      </c>
      <c r="E324" s="172" t="n">
        <f aca="false">22*3</f>
        <v>66</v>
      </c>
      <c r="F324" s="167" t="n">
        <f aca="false">(F323/150)*2</f>
        <v>2281.46706666667</v>
      </c>
      <c r="G324" s="168" t="n">
        <f aca="false">+F328</f>
        <v>5.5</v>
      </c>
      <c r="H324" s="133" t="n">
        <f aca="false">+G324*F324*E324</f>
        <v>828172.5452</v>
      </c>
      <c r="I324" s="186"/>
      <c r="J324" s="170"/>
    </row>
    <row r="325" s="156" customFormat="true" ht="12.75" hidden="false" customHeight="false" outlineLevel="0" collapsed="false">
      <c r="A325" s="148"/>
      <c r="B325" s="165"/>
      <c r="C325" s="42"/>
      <c r="D325" s="166" t="s">
        <v>57</v>
      </c>
      <c r="E325" s="195" t="s">
        <v>58</v>
      </c>
      <c r="F325" s="167" t="n">
        <v>0</v>
      </c>
      <c r="G325" s="133" t="n">
        <f aca="false">$H$3</f>
        <v>66</v>
      </c>
      <c r="H325" s="133" t="n">
        <f aca="false">+G325*F325</f>
        <v>0</v>
      </c>
      <c r="I325" s="186"/>
      <c r="J325" s="170"/>
    </row>
    <row r="326" s="156" customFormat="true" ht="12.75" hidden="false" customHeight="false" outlineLevel="0" collapsed="false">
      <c r="A326" s="148"/>
      <c r="B326" s="165"/>
      <c r="C326" s="42"/>
      <c r="D326" s="166" t="s">
        <v>59</v>
      </c>
      <c r="E326" s="195" t="s">
        <v>58</v>
      </c>
      <c r="F326" s="167" t="n">
        <v>0</v>
      </c>
      <c r="G326" s="133" t="n">
        <f aca="false">$H$4</f>
        <v>103</v>
      </c>
      <c r="H326" s="133" t="n">
        <f aca="false">+G326*F326</f>
        <v>0</v>
      </c>
      <c r="I326" s="186"/>
      <c r="J326" s="170"/>
    </row>
    <row r="327" s="156" customFormat="true" ht="12.75" hidden="false" customHeight="false" outlineLevel="0" collapsed="false">
      <c r="A327" s="148"/>
      <c r="B327" s="165"/>
      <c r="C327" s="42"/>
      <c r="D327" s="166" t="s">
        <v>60</v>
      </c>
      <c r="E327" s="194" t="s">
        <v>86</v>
      </c>
      <c r="F327" s="167" t="n">
        <f aca="false">E321</f>
        <v>171110.03</v>
      </c>
      <c r="G327" s="133" t="n">
        <v>0</v>
      </c>
      <c r="H327" s="133" t="n">
        <f aca="false">+G327*F327</f>
        <v>0</v>
      </c>
      <c r="I327" s="186"/>
      <c r="J327" s="170"/>
    </row>
    <row r="328" s="156" customFormat="true" ht="12.75" hidden="false" customHeight="false" outlineLevel="0" collapsed="false">
      <c r="A328" s="148"/>
      <c r="B328" s="165"/>
      <c r="C328" s="42"/>
      <c r="D328" s="166" t="s">
        <v>62</v>
      </c>
      <c r="E328" s="195" t="s">
        <v>30</v>
      </c>
      <c r="F328" s="161" t="n">
        <f aca="false">+G322+G323+G327</f>
        <v>5.5</v>
      </c>
      <c r="G328" s="137" t="s">
        <v>63</v>
      </c>
      <c r="H328" s="133" t="n">
        <f aca="false">SUM(H322:H327)</f>
        <v>1769277.7102</v>
      </c>
      <c r="I328" s="169"/>
      <c r="J328" s="170"/>
    </row>
    <row r="329" s="156" customFormat="true" ht="12.75" hidden="false" customHeight="false" outlineLevel="0" collapsed="false">
      <c r="A329" s="148"/>
      <c r="B329" s="165"/>
      <c r="C329" s="42"/>
      <c r="D329" s="175" t="s">
        <v>64</v>
      </c>
      <c r="E329" s="173" t="s">
        <v>30</v>
      </c>
      <c r="F329" s="167"/>
      <c r="G329" s="188"/>
      <c r="H329" s="133" t="n">
        <f aca="false">H328*8.33%</f>
        <v>147380.83325966</v>
      </c>
      <c r="I329" s="177"/>
      <c r="J329" s="178"/>
    </row>
    <row r="330" s="156" customFormat="true" ht="12.75" hidden="false" customHeight="false" outlineLevel="0" collapsed="false">
      <c r="A330" s="148"/>
      <c r="B330" s="165"/>
      <c r="C330" s="42"/>
      <c r="D330" s="175" t="s">
        <v>65</v>
      </c>
      <c r="E330" s="167"/>
      <c r="F330" s="167"/>
      <c r="G330" s="180"/>
      <c r="H330" s="133" t="n">
        <f aca="false">H328*7%</f>
        <v>123849.439714</v>
      </c>
      <c r="I330" s="181" t="n">
        <v>0</v>
      </c>
      <c r="J330" s="182" t="n">
        <f aca="false">+(H328+H329+H330)*C321</f>
        <v>2040507.98317366</v>
      </c>
    </row>
    <row r="331" s="156" customFormat="true" ht="12.75" hidden="false" customHeight="false" outlineLevel="0" collapsed="false">
      <c r="A331" s="148"/>
      <c r="B331" s="165"/>
      <c r="C331" s="42"/>
      <c r="D331" s="183"/>
      <c r="E331" s="119"/>
      <c r="F331" s="161"/>
      <c r="G331" s="184"/>
      <c r="H331" s="185"/>
      <c r="I331" s="186"/>
      <c r="J331" s="170"/>
    </row>
    <row r="332" s="156" customFormat="true" ht="15" hidden="false" customHeight="true" outlineLevel="0" collapsed="false">
      <c r="A332" s="148"/>
      <c r="B332" s="149"/>
      <c r="C332" s="145" t="n">
        <v>1</v>
      </c>
      <c r="D332" s="159" t="s">
        <v>90</v>
      </c>
      <c r="E332" s="187" t="n">
        <v>129385.85</v>
      </c>
      <c r="F332" s="161"/>
      <c r="G332" s="190"/>
      <c r="H332" s="162"/>
      <c r="I332" s="191"/>
      <c r="J332" s="164"/>
    </row>
    <row r="333" s="156" customFormat="true" ht="12.75" hidden="false" customHeight="false" outlineLevel="0" collapsed="false">
      <c r="A333" s="148"/>
      <c r="B333" s="165"/>
      <c r="C333" s="42"/>
      <c r="D333" s="166" t="s">
        <v>54</v>
      </c>
      <c r="E333" s="193" t="s">
        <v>85</v>
      </c>
      <c r="F333" s="167" t="n">
        <f aca="false">E332</f>
        <v>129385.85</v>
      </c>
      <c r="G333" s="168" t="n">
        <v>2.5</v>
      </c>
      <c r="H333" s="133" t="n">
        <f aca="false">+G333*F333</f>
        <v>323464.625</v>
      </c>
      <c r="I333" s="186"/>
      <c r="J333" s="170"/>
    </row>
    <row r="334" s="156" customFormat="true" ht="12.75" hidden="false" customHeight="false" outlineLevel="0" collapsed="false">
      <c r="A334" s="148"/>
      <c r="B334" s="165"/>
      <c r="C334" s="42"/>
      <c r="D334" s="166" t="s">
        <v>4</v>
      </c>
      <c r="E334" s="194" t="s">
        <v>85</v>
      </c>
      <c r="F334" s="167" t="n">
        <f aca="false">F333</f>
        <v>129385.85</v>
      </c>
      <c r="G334" s="168" t="n">
        <v>3</v>
      </c>
      <c r="H334" s="133" t="n">
        <f aca="false">+G334*F334</f>
        <v>388157.55</v>
      </c>
      <c r="I334" s="186"/>
      <c r="J334" s="170"/>
    </row>
    <row r="335" s="156" customFormat="true" ht="12.75" hidden="false" customHeight="false" outlineLevel="0" collapsed="false">
      <c r="A335" s="148"/>
      <c r="B335" s="165"/>
      <c r="C335" s="42"/>
      <c r="D335" s="166" t="s">
        <v>56</v>
      </c>
      <c r="E335" s="172" t="n">
        <f aca="false">22*3</f>
        <v>66</v>
      </c>
      <c r="F335" s="167" t="n">
        <f aca="false">(F334/150)*2</f>
        <v>1725.14466666667</v>
      </c>
      <c r="G335" s="168" t="n">
        <f aca="false">+F339</f>
        <v>4.5</v>
      </c>
      <c r="H335" s="133" t="n">
        <f aca="false">+G335*F335*E335</f>
        <v>512367.966</v>
      </c>
      <c r="I335" s="186"/>
      <c r="J335" s="170"/>
    </row>
    <row r="336" s="156" customFormat="true" ht="12.75" hidden="false" customHeight="false" outlineLevel="0" collapsed="false">
      <c r="A336" s="148"/>
      <c r="B336" s="165"/>
      <c r="C336" s="42"/>
      <c r="D336" s="166" t="s">
        <v>57</v>
      </c>
      <c r="E336" s="195" t="s">
        <v>58</v>
      </c>
      <c r="F336" s="167" t="n">
        <v>0</v>
      </c>
      <c r="G336" s="133" t="n">
        <f aca="false">$H$3</f>
        <v>66</v>
      </c>
      <c r="H336" s="133" t="n">
        <f aca="false">+G336*F336</f>
        <v>0</v>
      </c>
      <c r="I336" s="186"/>
      <c r="J336" s="170"/>
    </row>
    <row r="337" s="156" customFormat="true" ht="12.75" hidden="false" customHeight="false" outlineLevel="0" collapsed="false">
      <c r="A337" s="148"/>
      <c r="B337" s="165"/>
      <c r="C337" s="42"/>
      <c r="D337" s="166" t="s">
        <v>59</v>
      </c>
      <c r="E337" s="195" t="s">
        <v>58</v>
      </c>
      <c r="F337" s="167" t="n">
        <v>0</v>
      </c>
      <c r="G337" s="133" t="n">
        <f aca="false">$H$4</f>
        <v>103</v>
      </c>
      <c r="H337" s="133" t="n">
        <f aca="false">+G337*F337</f>
        <v>0</v>
      </c>
      <c r="I337" s="186"/>
      <c r="J337" s="170"/>
    </row>
    <row r="338" s="156" customFormat="true" ht="12.75" hidden="false" customHeight="false" outlineLevel="0" collapsed="false">
      <c r="A338" s="148"/>
      <c r="B338" s="165"/>
      <c r="C338" s="42"/>
      <c r="D338" s="166" t="s">
        <v>60</v>
      </c>
      <c r="E338" s="194" t="s">
        <v>86</v>
      </c>
      <c r="F338" s="167" t="n">
        <v>37371.11</v>
      </c>
      <c r="G338" s="168" t="n">
        <v>0.5</v>
      </c>
      <c r="H338" s="133" t="n">
        <f aca="false">+G338*F338</f>
        <v>18685.555</v>
      </c>
      <c r="I338" s="186"/>
      <c r="J338" s="170"/>
    </row>
    <row r="339" s="156" customFormat="true" ht="12.75" hidden="false" customHeight="false" outlineLevel="0" collapsed="false">
      <c r="A339" s="148"/>
      <c r="B339" s="165"/>
      <c r="C339" s="42"/>
      <c r="D339" s="166" t="s">
        <v>62</v>
      </c>
      <c r="E339" s="195" t="s">
        <v>30</v>
      </c>
      <c r="F339" s="161" t="n">
        <v>4.5</v>
      </c>
      <c r="G339" s="137" t="s">
        <v>63</v>
      </c>
      <c r="H339" s="133" t="n">
        <f aca="false">SUM(H333:H338)</f>
        <v>1242675.696</v>
      </c>
      <c r="I339" s="169"/>
      <c r="J339" s="170"/>
    </row>
    <row r="340" s="156" customFormat="true" ht="12.75" hidden="false" customHeight="false" outlineLevel="0" collapsed="false">
      <c r="A340" s="148"/>
      <c r="B340" s="165"/>
      <c r="C340" s="42"/>
      <c r="D340" s="175" t="s">
        <v>64</v>
      </c>
      <c r="E340" s="173" t="s">
        <v>30</v>
      </c>
      <c r="F340" s="167"/>
      <c r="G340" s="188"/>
      <c r="H340" s="133" t="n">
        <f aca="false">H339*8.33%</f>
        <v>103514.8854768</v>
      </c>
      <c r="I340" s="177"/>
      <c r="J340" s="178"/>
    </row>
    <row r="341" s="156" customFormat="true" ht="12.75" hidden="false" customHeight="false" outlineLevel="0" collapsed="false">
      <c r="A341" s="148"/>
      <c r="B341" s="165"/>
      <c r="C341" s="42"/>
      <c r="D341" s="175" t="s">
        <v>65</v>
      </c>
      <c r="E341" s="167"/>
      <c r="F341" s="167"/>
      <c r="G341" s="180"/>
      <c r="H341" s="133" t="n">
        <f aca="false">H339*7%</f>
        <v>86987.29872</v>
      </c>
      <c r="I341" s="181" t="n">
        <v>0</v>
      </c>
      <c r="J341" s="182" t="n">
        <f aca="false">+(H339+H340+H341)*C332</f>
        <v>1433177.8801968</v>
      </c>
    </row>
    <row r="342" s="156" customFormat="true" ht="12.75" hidden="false" customHeight="false" outlineLevel="0" collapsed="false">
      <c r="A342" s="148"/>
      <c r="B342" s="165"/>
      <c r="C342" s="42"/>
      <c r="D342" s="183"/>
      <c r="E342" s="119"/>
      <c r="F342" s="161"/>
      <c r="G342" s="184"/>
      <c r="H342" s="185"/>
      <c r="I342" s="186"/>
      <c r="J342" s="170"/>
    </row>
    <row r="343" s="156" customFormat="true" ht="15" hidden="false" customHeight="true" outlineLevel="0" collapsed="false">
      <c r="A343" s="148"/>
      <c r="B343" s="149"/>
      <c r="C343" s="145" t="n">
        <v>2</v>
      </c>
      <c r="D343" s="159" t="s">
        <v>91</v>
      </c>
      <c r="E343" s="187" t="n">
        <v>101647.54</v>
      </c>
      <c r="F343" s="161"/>
      <c r="G343" s="190"/>
      <c r="H343" s="162"/>
      <c r="I343" s="191"/>
      <c r="J343" s="164"/>
    </row>
    <row r="344" s="156" customFormat="true" ht="12.75" hidden="false" customHeight="false" outlineLevel="0" collapsed="false">
      <c r="A344" s="148"/>
      <c r="B344" s="165"/>
      <c r="C344" s="42"/>
      <c r="D344" s="166" t="s">
        <v>54</v>
      </c>
      <c r="E344" s="193" t="s">
        <v>85</v>
      </c>
      <c r="F344" s="167" t="n">
        <f aca="false">E343</f>
        <v>101647.54</v>
      </c>
      <c r="G344" s="168" t="n">
        <v>2</v>
      </c>
      <c r="H344" s="133" t="n">
        <f aca="false">+G344*F344</f>
        <v>203295.08</v>
      </c>
      <c r="I344" s="186"/>
      <c r="J344" s="170"/>
    </row>
    <row r="345" s="156" customFormat="true" ht="12.75" hidden="false" customHeight="false" outlineLevel="0" collapsed="false">
      <c r="A345" s="148"/>
      <c r="B345" s="165"/>
      <c r="C345" s="42"/>
      <c r="D345" s="166" t="s">
        <v>4</v>
      </c>
      <c r="E345" s="194" t="s">
        <v>85</v>
      </c>
      <c r="F345" s="167" t="n">
        <f aca="false">F344</f>
        <v>101647.54</v>
      </c>
      <c r="G345" s="168" t="n">
        <v>3</v>
      </c>
      <c r="H345" s="133" t="n">
        <f aca="false">+G345*F345</f>
        <v>304942.62</v>
      </c>
      <c r="I345" s="186"/>
      <c r="J345" s="170"/>
    </row>
    <row r="346" s="156" customFormat="true" ht="12.75" hidden="false" customHeight="false" outlineLevel="0" collapsed="false">
      <c r="A346" s="148"/>
      <c r="B346" s="165"/>
      <c r="C346" s="42"/>
      <c r="D346" s="166" t="s">
        <v>56</v>
      </c>
      <c r="E346" s="172" t="n">
        <f aca="false">22*3</f>
        <v>66</v>
      </c>
      <c r="F346" s="167" t="n">
        <f aca="false">(F345/150)*2</f>
        <v>1355.30053333333</v>
      </c>
      <c r="G346" s="168" t="n">
        <f aca="false">+F350</f>
        <v>5.5</v>
      </c>
      <c r="H346" s="133" t="n">
        <f aca="false">+G346*F346*E346</f>
        <v>491974.0936</v>
      </c>
      <c r="I346" s="186"/>
      <c r="J346" s="170"/>
    </row>
    <row r="347" s="156" customFormat="true" ht="12.75" hidden="false" customHeight="false" outlineLevel="0" collapsed="false">
      <c r="A347" s="148"/>
      <c r="B347" s="165"/>
      <c r="C347" s="42"/>
      <c r="D347" s="166" t="s">
        <v>57</v>
      </c>
      <c r="E347" s="195" t="s">
        <v>58</v>
      </c>
      <c r="F347" s="167" t="n">
        <v>0</v>
      </c>
      <c r="G347" s="133" t="n">
        <f aca="false">$H$3</f>
        <v>66</v>
      </c>
      <c r="H347" s="133" t="n">
        <f aca="false">+G347*F347</f>
        <v>0</v>
      </c>
      <c r="I347" s="186"/>
      <c r="J347" s="170"/>
    </row>
    <row r="348" s="156" customFormat="true" ht="12.75" hidden="false" customHeight="false" outlineLevel="0" collapsed="false">
      <c r="A348" s="148"/>
      <c r="B348" s="165"/>
      <c r="C348" s="42"/>
      <c r="D348" s="166" t="s">
        <v>59</v>
      </c>
      <c r="E348" s="195" t="s">
        <v>58</v>
      </c>
      <c r="F348" s="167" t="n">
        <v>0</v>
      </c>
      <c r="G348" s="133" t="n">
        <f aca="false">$H$4</f>
        <v>103</v>
      </c>
      <c r="H348" s="133" t="n">
        <f aca="false">+G348*F348</f>
        <v>0</v>
      </c>
      <c r="I348" s="186"/>
      <c r="J348" s="170"/>
    </row>
    <row r="349" s="156" customFormat="true" ht="12.75" hidden="false" customHeight="false" outlineLevel="0" collapsed="false">
      <c r="A349" s="148"/>
      <c r="B349" s="165"/>
      <c r="C349" s="42"/>
      <c r="D349" s="166" t="s">
        <v>60</v>
      </c>
      <c r="E349" s="194" t="s">
        <v>86</v>
      </c>
      <c r="F349" s="167" t="n">
        <v>31896.03</v>
      </c>
      <c r="G349" s="133" t="n">
        <v>0.5</v>
      </c>
      <c r="H349" s="133" t="n">
        <f aca="false">+G349*F349</f>
        <v>15948.015</v>
      </c>
      <c r="I349" s="186"/>
      <c r="J349" s="170"/>
    </row>
    <row r="350" s="156" customFormat="true" ht="12.75" hidden="false" customHeight="false" outlineLevel="0" collapsed="false">
      <c r="A350" s="148"/>
      <c r="B350" s="165"/>
      <c r="C350" s="42"/>
      <c r="D350" s="166" t="s">
        <v>62</v>
      </c>
      <c r="E350" s="195" t="s">
        <v>30</v>
      </c>
      <c r="F350" s="161" t="n">
        <f aca="false">+G344+G345+G349</f>
        <v>5.5</v>
      </c>
      <c r="G350" s="137" t="s">
        <v>63</v>
      </c>
      <c r="H350" s="133" t="n">
        <f aca="false">SUM(H344:H349)</f>
        <v>1016159.8086</v>
      </c>
      <c r="I350" s="169"/>
      <c r="J350" s="170"/>
    </row>
    <row r="351" s="156" customFormat="true" ht="12.75" hidden="false" customHeight="false" outlineLevel="0" collapsed="false">
      <c r="A351" s="148"/>
      <c r="B351" s="165"/>
      <c r="C351" s="42"/>
      <c r="D351" s="175" t="s">
        <v>64</v>
      </c>
      <c r="E351" s="173" t="s">
        <v>30</v>
      </c>
      <c r="F351" s="167"/>
      <c r="G351" s="188"/>
      <c r="H351" s="133" t="n">
        <f aca="false">H350*8.33%</f>
        <v>84646.11205638</v>
      </c>
      <c r="I351" s="177"/>
      <c r="J351" s="178"/>
    </row>
    <row r="352" s="156" customFormat="true" ht="12.75" hidden="false" customHeight="false" outlineLevel="0" collapsed="false">
      <c r="A352" s="148"/>
      <c r="B352" s="165"/>
      <c r="C352" s="42"/>
      <c r="D352" s="175" t="s">
        <v>65</v>
      </c>
      <c r="E352" s="167"/>
      <c r="F352" s="167"/>
      <c r="G352" s="180"/>
      <c r="H352" s="133" t="n">
        <f aca="false">H350*7%</f>
        <v>71131.186602</v>
      </c>
      <c r="I352" s="181" t="n">
        <v>0</v>
      </c>
      <c r="J352" s="182" t="n">
        <f aca="false">+(H350+H351+H352)*C343</f>
        <v>2343874.21451676</v>
      </c>
    </row>
    <row r="353" s="156" customFormat="true" ht="12.75" hidden="false" customHeight="false" outlineLevel="0" collapsed="false">
      <c r="A353" s="148"/>
      <c r="B353" s="165"/>
      <c r="C353" s="42"/>
      <c r="D353" s="183"/>
      <c r="E353" s="119"/>
      <c r="F353" s="161"/>
      <c r="G353" s="184"/>
      <c r="H353" s="185"/>
      <c r="I353" s="186"/>
      <c r="J353" s="170"/>
    </row>
    <row r="354" s="156" customFormat="true" ht="15" hidden="false" customHeight="true" outlineLevel="0" collapsed="false">
      <c r="A354" s="148"/>
      <c r="B354" s="149"/>
      <c r="C354" s="145" t="n">
        <v>1</v>
      </c>
      <c r="D354" s="159" t="s">
        <v>92</v>
      </c>
      <c r="E354" s="187" t="n">
        <v>148536.84</v>
      </c>
      <c r="F354" s="161"/>
      <c r="G354" s="190"/>
      <c r="H354" s="162"/>
      <c r="I354" s="191"/>
      <c r="J354" s="164"/>
    </row>
    <row r="355" s="156" customFormat="true" ht="12.75" hidden="false" customHeight="false" outlineLevel="0" collapsed="false">
      <c r="A355" s="148"/>
      <c r="B355" s="165"/>
      <c r="C355" s="42"/>
      <c r="D355" s="166" t="s">
        <v>54</v>
      </c>
      <c r="E355" s="193" t="s">
        <v>85</v>
      </c>
      <c r="F355" s="167" t="n">
        <f aca="false">E354</f>
        <v>148536.84</v>
      </c>
      <c r="G355" s="168" t="n">
        <v>2.5</v>
      </c>
      <c r="H355" s="133" t="n">
        <f aca="false">+G355*F355</f>
        <v>371342.1</v>
      </c>
      <c r="I355" s="186"/>
      <c r="J355" s="170"/>
    </row>
    <row r="356" s="156" customFormat="true" ht="12.75" hidden="false" customHeight="false" outlineLevel="0" collapsed="false">
      <c r="A356" s="148"/>
      <c r="B356" s="165"/>
      <c r="C356" s="42"/>
      <c r="D356" s="166" t="s">
        <v>4</v>
      </c>
      <c r="E356" s="194" t="s">
        <v>85</v>
      </c>
      <c r="F356" s="167" t="n">
        <f aca="false">F355</f>
        <v>148536.84</v>
      </c>
      <c r="G356" s="168" t="n">
        <v>3</v>
      </c>
      <c r="H356" s="133" t="n">
        <f aca="false">+G356*F356</f>
        <v>445610.52</v>
      </c>
      <c r="I356" s="186"/>
      <c r="J356" s="170"/>
    </row>
    <row r="357" s="156" customFormat="true" ht="12.75" hidden="false" customHeight="false" outlineLevel="0" collapsed="false">
      <c r="A357" s="148"/>
      <c r="B357" s="165"/>
      <c r="C357" s="42"/>
      <c r="D357" s="166" t="s">
        <v>56</v>
      </c>
      <c r="E357" s="172" t="n">
        <f aca="false">22*3</f>
        <v>66</v>
      </c>
      <c r="F357" s="167" t="n">
        <f aca="false">(F356/150)*2</f>
        <v>1980.4912</v>
      </c>
      <c r="G357" s="168" t="n">
        <f aca="false">+F361</f>
        <v>5.5</v>
      </c>
      <c r="H357" s="133" t="n">
        <f aca="false">+G357*F357*E357</f>
        <v>718918.3056</v>
      </c>
      <c r="I357" s="186"/>
      <c r="J357" s="170"/>
    </row>
    <row r="358" s="156" customFormat="true" ht="12.75" hidden="false" customHeight="false" outlineLevel="0" collapsed="false">
      <c r="A358" s="148"/>
      <c r="B358" s="165"/>
      <c r="C358" s="42"/>
      <c r="D358" s="166" t="s">
        <v>57</v>
      </c>
      <c r="E358" s="195" t="s">
        <v>58</v>
      </c>
      <c r="F358" s="167" t="n">
        <v>0</v>
      </c>
      <c r="G358" s="133" t="n">
        <f aca="false">$H$3</f>
        <v>66</v>
      </c>
      <c r="H358" s="133" t="n">
        <f aca="false">+G358*F358</f>
        <v>0</v>
      </c>
      <c r="I358" s="186"/>
      <c r="J358" s="170"/>
    </row>
    <row r="359" s="156" customFormat="true" ht="12.75" hidden="false" customHeight="false" outlineLevel="0" collapsed="false">
      <c r="A359" s="148"/>
      <c r="B359" s="165"/>
      <c r="C359" s="42"/>
      <c r="D359" s="166" t="s">
        <v>59</v>
      </c>
      <c r="E359" s="195" t="s">
        <v>58</v>
      </c>
      <c r="F359" s="167" t="n">
        <v>0</v>
      </c>
      <c r="G359" s="133" t="n">
        <f aca="false">$H$4</f>
        <v>103</v>
      </c>
      <c r="H359" s="133" t="n">
        <f aca="false">+G359*F359</f>
        <v>0</v>
      </c>
      <c r="I359" s="186"/>
      <c r="J359" s="170"/>
    </row>
    <row r="360" s="156" customFormat="true" ht="12.75" hidden="false" customHeight="false" outlineLevel="0" collapsed="false">
      <c r="A360" s="148"/>
      <c r="B360" s="165"/>
      <c r="C360" s="42"/>
      <c r="D360" s="166" t="s">
        <v>60</v>
      </c>
      <c r="E360" s="194" t="s">
        <v>86</v>
      </c>
      <c r="F360" s="167" t="n">
        <f aca="false">E354</f>
        <v>148536.84</v>
      </c>
      <c r="G360" s="133" t="n">
        <v>0</v>
      </c>
      <c r="H360" s="133" t="n">
        <f aca="false">+G360*F360</f>
        <v>0</v>
      </c>
      <c r="I360" s="186"/>
      <c r="J360" s="170"/>
    </row>
    <row r="361" s="156" customFormat="true" ht="12.75" hidden="false" customHeight="false" outlineLevel="0" collapsed="false">
      <c r="A361" s="148"/>
      <c r="B361" s="165"/>
      <c r="C361" s="42"/>
      <c r="D361" s="166" t="s">
        <v>62</v>
      </c>
      <c r="E361" s="195" t="s">
        <v>30</v>
      </c>
      <c r="F361" s="161" t="n">
        <f aca="false">+G355+G356+G360</f>
        <v>5.5</v>
      </c>
      <c r="G361" s="137" t="s">
        <v>63</v>
      </c>
      <c r="H361" s="133" t="n">
        <f aca="false">SUM(H355:H360)</f>
        <v>1535870.9256</v>
      </c>
      <c r="I361" s="169"/>
      <c r="J361" s="170"/>
    </row>
    <row r="362" s="156" customFormat="true" ht="12.75" hidden="false" customHeight="false" outlineLevel="0" collapsed="false">
      <c r="A362" s="148"/>
      <c r="B362" s="165"/>
      <c r="C362" s="42"/>
      <c r="D362" s="175" t="s">
        <v>64</v>
      </c>
      <c r="E362" s="173" t="s">
        <v>30</v>
      </c>
      <c r="F362" s="167"/>
      <c r="G362" s="188"/>
      <c r="H362" s="133" t="n">
        <f aca="false">H361*8.33%</f>
        <v>127938.04810248</v>
      </c>
      <c r="I362" s="177"/>
      <c r="J362" s="178"/>
    </row>
    <row r="363" s="156" customFormat="true" ht="12.75" hidden="false" customHeight="false" outlineLevel="0" collapsed="false">
      <c r="A363" s="148"/>
      <c r="B363" s="165"/>
      <c r="C363" s="42"/>
      <c r="D363" s="175" t="s">
        <v>65</v>
      </c>
      <c r="E363" s="167"/>
      <c r="F363" s="167"/>
      <c r="G363" s="180"/>
      <c r="H363" s="133" t="n">
        <f aca="false">H361*7%</f>
        <v>107510.964792</v>
      </c>
      <c r="I363" s="181" t="n">
        <v>0</v>
      </c>
      <c r="J363" s="182" t="n">
        <f aca="false">+(H361+H362+H363)*C354</f>
        <v>1771319.93849448</v>
      </c>
    </row>
    <row r="364" s="156" customFormat="true" ht="12.75" hidden="false" customHeight="false" outlineLevel="0" collapsed="false">
      <c r="A364" s="148"/>
      <c r="B364" s="165"/>
      <c r="C364" s="42"/>
      <c r="D364" s="183"/>
      <c r="E364" s="119"/>
      <c r="F364" s="161"/>
      <c r="G364" s="184"/>
      <c r="H364" s="185"/>
      <c r="I364" s="186"/>
      <c r="J364" s="170"/>
    </row>
    <row r="365" s="156" customFormat="true" ht="15" hidden="false" customHeight="true" outlineLevel="0" collapsed="false">
      <c r="A365" s="148"/>
      <c r="B365" s="149"/>
      <c r="C365" s="145" t="n">
        <v>2</v>
      </c>
      <c r="D365" s="159" t="s">
        <v>93</v>
      </c>
      <c r="E365" s="187" t="n">
        <v>101647.54</v>
      </c>
      <c r="F365" s="161"/>
      <c r="G365" s="190"/>
      <c r="H365" s="162"/>
      <c r="I365" s="191"/>
      <c r="J365" s="164"/>
    </row>
    <row r="366" s="156" customFormat="true" ht="12.75" hidden="false" customHeight="false" outlineLevel="0" collapsed="false">
      <c r="A366" s="148"/>
      <c r="B366" s="165"/>
      <c r="C366" s="42"/>
      <c r="D366" s="166" t="s">
        <v>54</v>
      </c>
      <c r="E366" s="193" t="s">
        <v>85</v>
      </c>
      <c r="F366" s="167" t="n">
        <f aca="false">E365</f>
        <v>101647.54</v>
      </c>
      <c r="G366" s="168" t="n">
        <v>0.5</v>
      </c>
      <c r="H366" s="133" t="n">
        <f aca="false">+G366*F366</f>
        <v>50823.77</v>
      </c>
      <c r="I366" s="186"/>
      <c r="J366" s="170"/>
    </row>
    <row r="367" s="156" customFormat="true" ht="12.75" hidden="false" customHeight="false" outlineLevel="0" collapsed="false">
      <c r="A367" s="148"/>
      <c r="B367" s="165"/>
      <c r="C367" s="42"/>
      <c r="D367" s="166" t="s">
        <v>4</v>
      </c>
      <c r="E367" s="194" t="s">
        <v>85</v>
      </c>
      <c r="F367" s="167" t="n">
        <f aca="false">F366</f>
        <v>101647.54</v>
      </c>
      <c r="G367" s="168" t="n">
        <v>3</v>
      </c>
      <c r="H367" s="133" t="n">
        <f aca="false">+G367*F367</f>
        <v>304942.62</v>
      </c>
      <c r="I367" s="186"/>
      <c r="J367" s="170"/>
    </row>
    <row r="368" s="156" customFormat="true" ht="12.75" hidden="false" customHeight="false" outlineLevel="0" collapsed="false">
      <c r="A368" s="148"/>
      <c r="B368" s="165"/>
      <c r="C368" s="42"/>
      <c r="D368" s="166" t="s">
        <v>56</v>
      </c>
      <c r="E368" s="172" t="n">
        <f aca="false">22*3</f>
        <v>66</v>
      </c>
      <c r="F368" s="167" t="n">
        <f aca="false">(F367/150)*2</f>
        <v>1355.30053333333</v>
      </c>
      <c r="G368" s="168" t="n">
        <f aca="false">+F372</f>
        <v>4</v>
      </c>
      <c r="H368" s="133" t="n">
        <f aca="false">+G368*F368*E368</f>
        <v>357799.3408</v>
      </c>
      <c r="I368" s="186"/>
      <c r="J368" s="170"/>
    </row>
    <row r="369" s="156" customFormat="true" ht="12.75" hidden="false" customHeight="false" outlineLevel="0" collapsed="false">
      <c r="A369" s="148"/>
      <c r="B369" s="165"/>
      <c r="C369" s="42"/>
      <c r="D369" s="166" t="s">
        <v>57</v>
      </c>
      <c r="E369" s="195" t="s">
        <v>58</v>
      </c>
      <c r="F369" s="167" t="n">
        <v>0</v>
      </c>
      <c r="G369" s="133" t="n">
        <f aca="false">$H$3</f>
        <v>66</v>
      </c>
      <c r="H369" s="133" t="n">
        <f aca="false">+G369*F369</f>
        <v>0</v>
      </c>
      <c r="I369" s="186"/>
      <c r="J369" s="170"/>
    </row>
    <row r="370" s="156" customFormat="true" ht="12.75" hidden="false" customHeight="false" outlineLevel="0" collapsed="false">
      <c r="A370" s="148"/>
      <c r="B370" s="165"/>
      <c r="C370" s="42"/>
      <c r="D370" s="166" t="s">
        <v>59</v>
      </c>
      <c r="E370" s="195" t="s">
        <v>58</v>
      </c>
      <c r="F370" s="167" t="n">
        <v>0</v>
      </c>
      <c r="G370" s="133" t="n">
        <f aca="false">$H$4</f>
        <v>103</v>
      </c>
      <c r="H370" s="133" t="n">
        <f aca="false">+G370*F370</f>
        <v>0</v>
      </c>
      <c r="I370" s="186"/>
      <c r="J370" s="170"/>
    </row>
    <row r="371" s="156" customFormat="true" ht="12.75" hidden="false" customHeight="false" outlineLevel="0" collapsed="false">
      <c r="A371" s="148"/>
      <c r="B371" s="165"/>
      <c r="C371" s="42"/>
      <c r="D371" s="166" t="s">
        <v>60</v>
      </c>
      <c r="E371" s="194" t="s">
        <v>86</v>
      </c>
      <c r="F371" s="167" t="n">
        <f aca="false">E365</f>
        <v>101647.54</v>
      </c>
      <c r="G371" s="171" t="n">
        <v>0.5</v>
      </c>
      <c r="H371" s="133" t="n">
        <f aca="false">+G371*F371</f>
        <v>50823.77</v>
      </c>
      <c r="I371" s="186"/>
      <c r="J371" s="170"/>
    </row>
    <row r="372" s="156" customFormat="true" ht="12.75" hidden="false" customHeight="false" outlineLevel="0" collapsed="false">
      <c r="A372" s="148"/>
      <c r="B372" s="165"/>
      <c r="C372" s="42"/>
      <c r="D372" s="166" t="s">
        <v>62</v>
      </c>
      <c r="E372" s="195" t="s">
        <v>30</v>
      </c>
      <c r="F372" s="161" t="n">
        <f aca="false">+G366+G367+G371</f>
        <v>4</v>
      </c>
      <c r="G372" s="137" t="s">
        <v>63</v>
      </c>
      <c r="H372" s="133" t="n">
        <f aca="false">SUM(H366:H371)</f>
        <v>764389.5008</v>
      </c>
      <c r="I372" s="169"/>
      <c r="J372" s="170"/>
    </row>
    <row r="373" s="156" customFormat="true" ht="12.75" hidden="false" customHeight="false" outlineLevel="0" collapsed="false">
      <c r="A373" s="148"/>
      <c r="B373" s="165"/>
      <c r="C373" s="42"/>
      <c r="D373" s="175" t="s">
        <v>64</v>
      </c>
      <c r="E373" s="173" t="s">
        <v>30</v>
      </c>
      <c r="F373" s="167"/>
      <c r="G373" s="188"/>
      <c r="H373" s="133" t="n">
        <f aca="false">H372*8.33%</f>
        <v>63673.64541664</v>
      </c>
      <c r="I373" s="177"/>
      <c r="J373" s="178"/>
    </row>
    <row r="374" s="156" customFormat="true" ht="12.75" hidden="false" customHeight="false" outlineLevel="0" collapsed="false">
      <c r="A374" s="148"/>
      <c r="B374" s="165"/>
      <c r="C374" s="42"/>
      <c r="D374" s="175" t="s">
        <v>65</v>
      </c>
      <c r="E374" s="167"/>
      <c r="F374" s="167"/>
      <c r="G374" s="180"/>
      <c r="H374" s="133" t="n">
        <f aca="false">H372*7%</f>
        <v>53507.265056</v>
      </c>
      <c r="I374" s="181" t="n">
        <v>0</v>
      </c>
      <c r="J374" s="182" t="n">
        <f aca="false">+(H372+H373+H374)*C365</f>
        <v>1763140.82254528</v>
      </c>
    </row>
    <row r="375" s="156" customFormat="true" ht="12.75" hidden="false" customHeight="false" outlineLevel="0" collapsed="false">
      <c r="A375" s="148"/>
      <c r="B375" s="165"/>
      <c r="C375" s="42"/>
      <c r="D375" s="183"/>
      <c r="E375" s="119"/>
      <c r="F375" s="161"/>
      <c r="G375" s="184"/>
      <c r="H375" s="185"/>
      <c r="I375" s="186"/>
      <c r="J375" s="170"/>
    </row>
    <row r="376" s="156" customFormat="true" ht="15" hidden="false" customHeight="true" outlineLevel="0" collapsed="false">
      <c r="A376" s="148"/>
      <c r="B376" s="149"/>
      <c r="C376" s="145" t="n">
        <v>1</v>
      </c>
      <c r="D376" s="159" t="s">
        <v>94</v>
      </c>
      <c r="E376" s="187" t="n">
        <v>171110.03</v>
      </c>
      <c r="F376" s="161"/>
      <c r="G376" s="190"/>
      <c r="H376" s="162"/>
      <c r="I376" s="191"/>
      <c r="J376" s="164"/>
    </row>
    <row r="377" s="156" customFormat="true" ht="12.75" hidden="false" customHeight="false" outlineLevel="0" collapsed="false">
      <c r="A377" s="148"/>
      <c r="B377" s="165"/>
      <c r="C377" s="42"/>
      <c r="D377" s="166" t="s">
        <v>54</v>
      </c>
      <c r="E377" s="193" t="s">
        <v>85</v>
      </c>
      <c r="F377" s="167" t="n">
        <f aca="false">E376</f>
        <v>171110.03</v>
      </c>
      <c r="G377" s="168" t="n">
        <v>2.5</v>
      </c>
      <c r="H377" s="133" t="n">
        <f aca="false">+G377*F377</f>
        <v>427775.075</v>
      </c>
      <c r="I377" s="186"/>
      <c r="J377" s="170"/>
    </row>
    <row r="378" s="156" customFormat="true" ht="12.75" hidden="false" customHeight="false" outlineLevel="0" collapsed="false">
      <c r="A378" s="148"/>
      <c r="B378" s="165"/>
      <c r="C378" s="42"/>
      <c r="D378" s="166" t="s">
        <v>4</v>
      </c>
      <c r="E378" s="194" t="s">
        <v>85</v>
      </c>
      <c r="F378" s="167" t="n">
        <f aca="false">F377</f>
        <v>171110.03</v>
      </c>
      <c r="G378" s="168" t="n">
        <v>3</v>
      </c>
      <c r="H378" s="133" t="n">
        <f aca="false">+G378*F378</f>
        <v>513330.09</v>
      </c>
      <c r="I378" s="186"/>
      <c r="J378" s="170"/>
    </row>
    <row r="379" s="156" customFormat="true" ht="12.75" hidden="false" customHeight="false" outlineLevel="0" collapsed="false">
      <c r="A379" s="148"/>
      <c r="B379" s="165"/>
      <c r="C379" s="42"/>
      <c r="D379" s="166" t="s">
        <v>56</v>
      </c>
      <c r="E379" s="172" t="n">
        <f aca="false">22*3</f>
        <v>66</v>
      </c>
      <c r="F379" s="167" t="n">
        <f aca="false">(F378/150)*2</f>
        <v>2281.46706666667</v>
      </c>
      <c r="G379" s="168" t="n">
        <f aca="false">+F383</f>
        <v>5.5</v>
      </c>
      <c r="H379" s="133" t="n">
        <f aca="false">+G379*F379*E379</f>
        <v>828172.5452</v>
      </c>
      <c r="I379" s="186"/>
      <c r="J379" s="170"/>
    </row>
    <row r="380" s="156" customFormat="true" ht="12.75" hidden="false" customHeight="false" outlineLevel="0" collapsed="false">
      <c r="A380" s="148"/>
      <c r="B380" s="165"/>
      <c r="C380" s="42"/>
      <c r="D380" s="166" t="s">
        <v>57</v>
      </c>
      <c r="E380" s="195" t="s">
        <v>58</v>
      </c>
      <c r="F380" s="167" t="n">
        <v>0</v>
      </c>
      <c r="G380" s="133" t="n">
        <f aca="false">$H$3</f>
        <v>66</v>
      </c>
      <c r="H380" s="133" t="n">
        <f aca="false">+G380*F380</f>
        <v>0</v>
      </c>
      <c r="I380" s="186"/>
      <c r="J380" s="170"/>
    </row>
    <row r="381" s="156" customFormat="true" ht="12.75" hidden="false" customHeight="false" outlineLevel="0" collapsed="false">
      <c r="A381" s="148"/>
      <c r="B381" s="165"/>
      <c r="C381" s="42"/>
      <c r="D381" s="166" t="s">
        <v>59</v>
      </c>
      <c r="E381" s="195" t="s">
        <v>58</v>
      </c>
      <c r="F381" s="167" t="n">
        <v>0</v>
      </c>
      <c r="G381" s="133" t="n">
        <f aca="false">$H$4</f>
        <v>103</v>
      </c>
      <c r="H381" s="133" t="n">
        <f aca="false">+G381*F381</f>
        <v>0</v>
      </c>
      <c r="I381" s="186"/>
      <c r="J381" s="170"/>
    </row>
    <row r="382" s="156" customFormat="true" ht="12.75" hidden="false" customHeight="false" outlineLevel="0" collapsed="false">
      <c r="A382" s="148"/>
      <c r="B382" s="165"/>
      <c r="C382" s="42"/>
      <c r="D382" s="166" t="s">
        <v>60</v>
      </c>
      <c r="E382" s="194" t="s">
        <v>86</v>
      </c>
      <c r="F382" s="167" t="n">
        <v>43881.81</v>
      </c>
      <c r="G382" s="167" t="n">
        <v>0</v>
      </c>
      <c r="H382" s="133" t="n">
        <f aca="false">+G382*F382</f>
        <v>0</v>
      </c>
      <c r="I382" s="186"/>
      <c r="J382" s="170"/>
    </row>
    <row r="383" s="156" customFormat="true" ht="12.75" hidden="false" customHeight="false" outlineLevel="0" collapsed="false">
      <c r="A383" s="148"/>
      <c r="B383" s="165"/>
      <c r="C383" s="42"/>
      <c r="D383" s="166" t="s">
        <v>62</v>
      </c>
      <c r="E383" s="195" t="s">
        <v>30</v>
      </c>
      <c r="F383" s="161" t="n">
        <f aca="false">+G377+G378+G382</f>
        <v>5.5</v>
      </c>
      <c r="G383" s="137" t="s">
        <v>63</v>
      </c>
      <c r="H383" s="133" t="n">
        <f aca="false">SUM(H377:H382)</f>
        <v>1769277.7102</v>
      </c>
      <c r="I383" s="169"/>
      <c r="J383" s="170"/>
    </row>
    <row r="384" s="156" customFormat="true" ht="12.75" hidden="false" customHeight="false" outlineLevel="0" collapsed="false">
      <c r="A384" s="148"/>
      <c r="B384" s="165"/>
      <c r="C384" s="42"/>
      <c r="D384" s="175" t="s">
        <v>64</v>
      </c>
      <c r="E384" s="173" t="s">
        <v>30</v>
      </c>
      <c r="F384" s="167"/>
      <c r="G384" s="188"/>
      <c r="H384" s="133" t="n">
        <f aca="false">H383*8.33%</f>
        <v>147380.83325966</v>
      </c>
      <c r="I384" s="177"/>
      <c r="J384" s="178"/>
    </row>
    <row r="385" s="156" customFormat="true" ht="12.75" hidden="false" customHeight="false" outlineLevel="0" collapsed="false">
      <c r="A385" s="148"/>
      <c r="B385" s="165"/>
      <c r="C385" s="42"/>
      <c r="D385" s="175" t="s">
        <v>65</v>
      </c>
      <c r="E385" s="167"/>
      <c r="F385" s="167"/>
      <c r="G385" s="180"/>
      <c r="H385" s="133" t="n">
        <f aca="false">H383*7%</f>
        <v>123849.439714</v>
      </c>
      <c r="I385" s="181" t="n">
        <v>0</v>
      </c>
      <c r="J385" s="182" t="n">
        <f aca="false">+(H383+H384+H385)*C376</f>
        <v>2040507.98317366</v>
      </c>
    </row>
    <row r="386" s="156" customFormat="true" ht="12.75" hidden="false" customHeight="false" outlineLevel="0" collapsed="false">
      <c r="A386" s="148"/>
      <c r="B386" s="165"/>
      <c r="C386" s="42"/>
      <c r="D386" s="183"/>
      <c r="E386" s="119"/>
      <c r="F386" s="161"/>
      <c r="G386" s="184"/>
      <c r="H386" s="185"/>
      <c r="I386" s="186"/>
      <c r="J386" s="170"/>
    </row>
    <row r="387" s="156" customFormat="true" ht="15" hidden="false" customHeight="true" outlineLevel="0" collapsed="false">
      <c r="A387" s="148"/>
      <c r="B387" s="149"/>
      <c r="C387" s="145" t="n">
        <v>1</v>
      </c>
      <c r="D387" s="159" t="s">
        <v>95</v>
      </c>
      <c r="E387" s="187" t="n">
        <v>129385.85</v>
      </c>
      <c r="F387" s="161"/>
      <c r="G387" s="190"/>
      <c r="H387" s="162"/>
      <c r="I387" s="191"/>
      <c r="J387" s="164"/>
    </row>
    <row r="388" s="156" customFormat="true" ht="12.75" hidden="false" customHeight="false" outlineLevel="0" collapsed="false">
      <c r="A388" s="148"/>
      <c r="B388" s="165"/>
      <c r="C388" s="42"/>
      <c r="D388" s="166" t="s">
        <v>54</v>
      </c>
      <c r="E388" s="193" t="s">
        <v>85</v>
      </c>
      <c r="F388" s="167" t="n">
        <f aca="false">E387</f>
        <v>129385.85</v>
      </c>
      <c r="G388" s="168" t="n">
        <v>2.5</v>
      </c>
      <c r="H388" s="133" t="n">
        <f aca="false">+G388*F388</f>
        <v>323464.625</v>
      </c>
      <c r="I388" s="186"/>
      <c r="J388" s="170"/>
    </row>
    <row r="389" s="156" customFormat="true" ht="12.75" hidden="false" customHeight="false" outlineLevel="0" collapsed="false">
      <c r="A389" s="148"/>
      <c r="B389" s="165"/>
      <c r="C389" s="42"/>
      <c r="D389" s="166" t="s">
        <v>4</v>
      </c>
      <c r="E389" s="194" t="s">
        <v>85</v>
      </c>
      <c r="F389" s="167" t="n">
        <f aca="false">F388</f>
        <v>129385.85</v>
      </c>
      <c r="G389" s="168" t="n">
        <v>3</v>
      </c>
      <c r="H389" s="133" t="n">
        <f aca="false">+G389*F389</f>
        <v>388157.55</v>
      </c>
      <c r="I389" s="186"/>
      <c r="J389" s="170"/>
    </row>
    <row r="390" s="156" customFormat="true" ht="12.75" hidden="false" customHeight="false" outlineLevel="0" collapsed="false">
      <c r="A390" s="148"/>
      <c r="B390" s="165"/>
      <c r="C390" s="42"/>
      <c r="D390" s="166" t="s">
        <v>56</v>
      </c>
      <c r="E390" s="172" t="n">
        <f aca="false">22*3</f>
        <v>66</v>
      </c>
      <c r="F390" s="167" t="n">
        <f aca="false">(F389/150)*2</f>
        <v>1725.14466666667</v>
      </c>
      <c r="G390" s="168" t="n">
        <f aca="false">+F394</f>
        <v>6</v>
      </c>
      <c r="H390" s="133" t="n">
        <f aca="false">+G390*F390*E390</f>
        <v>683157.288</v>
      </c>
      <c r="I390" s="186"/>
      <c r="J390" s="170"/>
    </row>
    <row r="391" s="156" customFormat="true" ht="12.75" hidden="false" customHeight="false" outlineLevel="0" collapsed="false">
      <c r="A391" s="148"/>
      <c r="B391" s="165"/>
      <c r="C391" s="42"/>
      <c r="D391" s="166" t="s">
        <v>57</v>
      </c>
      <c r="E391" s="195" t="s">
        <v>58</v>
      </c>
      <c r="F391" s="167" t="n">
        <v>0</v>
      </c>
      <c r="G391" s="133" t="n">
        <f aca="false">$H$3</f>
        <v>66</v>
      </c>
      <c r="H391" s="133" t="n">
        <f aca="false">+G391*F391</f>
        <v>0</v>
      </c>
      <c r="I391" s="186"/>
      <c r="J391" s="170"/>
    </row>
    <row r="392" s="156" customFormat="true" ht="12.75" hidden="false" customHeight="false" outlineLevel="0" collapsed="false">
      <c r="A392" s="148"/>
      <c r="B392" s="165"/>
      <c r="C392" s="42"/>
      <c r="D392" s="166" t="s">
        <v>59</v>
      </c>
      <c r="E392" s="195" t="s">
        <v>58</v>
      </c>
      <c r="F392" s="167" t="n">
        <v>0</v>
      </c>
      <c r="G392" s="133" t="n">
        <f aca="false">$H$4</f>
        <v>103</v>
      </c>
      <c r="H392" s="133" t="n">
        <f aca="false">+G392*F392</f>
        <v>0</v>
      </c>
      <c r="I392" s="186"/>
      <c r="J392" s="170"/>
    </row>
    <row r="393" s="156" customFormat="true" ht="12.75" hidden="false" customHeight="false" outlineLevel="0" collapsed="false">
      <c r="A393" s="148"/>
      <c r="B393" s="165"/>
      <c r="C393" s="42"/>
      <c r="D393" s="166" t="s">
        <v>60</v>
      </c>
      <c r="E393" s="194" t="s">
        <v>86</v>
      </c>
      <c r="F393" s="167" t="n">
        <v>37371.11</v>
      </c>
      <c r="G393" s="168" t="n">
        <v>0.5</v>
      </c>
      <c r="H393" s="133" t="n">
        <f aca="false">+G393*F393</f>
        <v>18685.555</v>
      </c>
      <c r="I393" s="186"/>
      <c r="J393" s="170"/>
    </row>
    <row r="394" s="156" customFormat="true" ht="12.75" hidden="false" customHeight="false" outlineLevel="0" collapsed="false">
      <c r="A394" s="148"/>
      <c r="B394" s="165"/>
      <c r="C394" s="42"/>
      <c r="D394" s="166" t="s">
        <v>62</v>
      </c>
      <c r="E394" s="195" t="s">
        <v>30</v>
      </c>
      <c r="F394" s="161" t="n">
        <f aca="false">+G388+G389+G393</f>
        <v>6</v>
      </c>
      <c r="G394" s="137" t="s">
        <v>63</v>
      </c>
      <c r="H394" s="133" t="n">
        <f aca="false">SUM(H388:H393)</f>
        <v>1413465.018</v>
      </c>
      <c r="I394" s="169"/>
      <c r="J394" s="170"/>
    </row>
    <row r="395" s="156" customFormat="true" ht="12.75" hidden="false" customHeight="false" outlineLevel="0" collapsed="false">
      <c r="A395" s="148"/>
      <c r="B395" s="165"/>
      <c r="C395" s="42"/>
      <c r="D395" s="175" t="s">
        <v>64</v>
      </c>
      <c r="E395" s="173" t="s">
        <v>30</v>
      </c>
      <c r="F395" s="167"/>
      <c r="G395" s="188"/>
      <c r="H395" s="133" t="n">
        <f aca="false">H394*8.33%</f>
        <v>117741.6359994</v>
      </c>
      <c r="I395" s="177"/>
      <c r="J395" s="178"/>
    </row>
    <row r="396" s="156" customFormat="true" ht="12.75" hidden="false" customHeight="false" outlineLevel="0" collapsed="false">
      <c r="A396" s="148"/>
      <c r="B396" s="165"/>
      <c r="C396" s="42"/>
      <c r="D396" s="175" t="s">
        <v>65</v>
      </c>
      <c r="E396" s="167"/>
      <c r="F396" s="167"/>
      <c r="G396" s="180"/>
      <c r="H396" s="133" t="n">
        <f aca="false">H394*7%</f>
        <v>98942.55126</v>
      </c>
      <c r="I396" s="181" t="n">
        <v>0</v>
      </c>
      <c r="J396" s="182" t="n">
        <f aca="false">+(H394+H395+H396)*C387</f>
        <v>1630149.2052594</v>
      </c>
    </row>
    <row r="397" s="156" customFormat="true" ht="12.75" hidden="false" customHeight="false" outlineLevel="0" collapsed="false">
      <c r="A397" s="148"/>
      <c r="B397" s="165"/>
      <c r="C397" s="42"/>
      <c r="D397" s="183"/>
      <c r="E397" s="189"/>
      <c r="F397" s="161"/>
      <c r="G397" s="184"/>
      <c r="H397" s="185"/>
      <c r="I397" s="186"/>
      <c r="J397" s="170"/>
    </row>
    <row r="398" s="156" customFormat="true" ht="15" hidden="false" customHeight="true" outlineLevel="0" collapsed="false">
      <c r="A398" s="148"/>
      <c r="B398" s="149"/>
      <c r="C398" s="145" t="n">
        <v>2</v>
      </c>
      <c r="D398" s="159" t="s">
        <v>96</v>
      </c>
      <c r="E398" s="187" t="n">
        <v>94045.75</v>
      </c>
      <c r="F398" s="161"/>
      <c r="G398" s="190"/>
      <c r="H398" s="162"/>
      <c r="I398" s="191"/>
      <c r="J398" s="164"/>
    </row>
    <row r="399" s="156" customFormat="true" ht="12.75" hidden="false" customHeight="false" outlineLevel="0" collapsed="false">
      <c r="A399" s="148"/>
      <c r="B399" s="165"/>
      <c r="C399" s="42"/>
      <c r="D399" s="166" t="s">
        <v>54</v>
      </c>
      <c r="E399" s="193" t="s">
        <v>85</v>
      </c>
      <c r="F399" s="167" t="n">
        <f aca="false">E398</f>
        <v>94045.75</v>
      </c>
      <c r="G399" s="168" t="n">
        <v>2</v>
      </c>
      <c r="H399" s="133" t="n">
        <f aca="false">+G399*F399</f>
        <v>188091.5</v>
      </c>
      <c r="I399" s="186"/>
      <c r="J399" s="170"/>
    </row>
    <row r="400" s="156" customFormat="true" ht="12.75" hidden="false" customHeight="false" outlineLevel="0" collapsed="false">
      <c r="A400" s="148"/>
      <c r="B400" s="165"/>
      <c r="C400" s="42"/>
      <c r="D400" s="166" t="s">
        <v>4</v>
      </c>
      <c r="E400" s="194" t="s">
        <v>85</v>
      </c>
      <c r="F400" s="167" t="n">
        <f aca="false">F399</f>
        <v>94045.75</v>
      </c>
      <c r="G400" s="168" t="n">
        <v>3</v>
      </c>
      <c r="H400" s="133" t="n">
        <f aca="false">+G400*F400</f>
        <v>282137.25</v>
      </c>
      <c r="I400" s="186"/>
      <c r="J400" s="170"/>
    </row>
    <row r="401" s="156" customFormat="true" ht="12.75" hidden="false" customHeight="false" outlineLevel="0" collapsed="false">
      <c r="A401" s="148"/>
      <c r="B401" s="165"/>
      <c r="C401" s="42"/>
      <c r="D401" s="166" t="s">
        <v>56</v>
      </c>
      <c r="E401" s="172" t="n">
        <f aca="false">22*3</f>
        <v>66</v>
      </c>
      <c r="F401" s="167" t="n">
        <f aca="false">(F400/150)*2</f>
        <v>1253.94333333333</v>
      </c>
      <c r="G401" s="168" t="n">
        <f aca="false">+F405</f>
        <v>5.5</v>
      </c>
      <c r="H401" s="133" t="n">
        <f aca="false">+G401*F401*E401</f>
        <v>455181.43</v>
      </c>
      <c r="I401" s="186"/>
      <c r="J401" s="170"/>
    </row>
    <row r="402" s="156" customFormat="true" ht="12.75" hidden="false" customHeight="false" outlineLevel="0" collapsed="false">
      <c r="A402" s="148"/>
      <c r="B402" s="165"/>
      <c r="C402" s="42"/>
      <c r="D402" s="166" t="s">
        <v>57</v>
      </c>
      <c r="E402" s="195" t="s">
        <v>58</v>
      </c>
      <c r="F402" s="167" t="n">
        <v>0</v>
      </c>
      <c r="G402" s="133" t="n">
        <f aca="false">$H$3</f>
        <v>66</v>
      </c>
      <c r="H402" s="133" t="n">
        <f aca="false">+G402*F402</f>
        <v>0</v>
      </c>
      <c r="I402" s="186"/>
      <c r="J402" s="170"/>
    </row>
    <row r="403" s="156" customFormat="true" ht="12.75" hidden="false" customHeight="false" outlineLevel="0" collapsed="false">
      <c r="A403" s="148"/>
      <c r="B403" s="165"/>
      <c r="C403" s="42"/>
      <c r="D403" s="166" t="s">
        <v>59</v>
      </c>
      <c r="E403" s="195" t="s">
        <v>58</v>
      </c>
      <c r="F403" s="167" t="n">
        <v>0</v>
      </c>
      <c r="G403" s="133" t="n">
        <f aca="false">$H$4</f>
        <v>103</v>
      </c>
      <c r="H403" s="133" t="n">
        <f aca="false">+G403*F403</f>
        <v>0</v>
      </c>
      <c r="I403" s="186"/>
      <c r="J403" s="170"/>
    </row>
    <row r="404" s="156" customFormat="true" ht="12.75" hidden="false" customHeight="false" outlineLevel="0" collapsed="false">
      <c r="A404" s="148"/>
      <c r="B404" s="165"/>
      <c r="C404" s="42"/>
      <c r="D404" s="166" t="s">
        <v>60</v>
      </c>
      <c r="E404" s="194" t="s">
        <v>86</v>
      </c>
      <c r="F404" s="167" t="n">
        <v>37371.11</v>
      </c>
      <c r="G404" s="168" t="n">
        <v>0.5</v>
      </c>
      <c r="H404" s="133" t="n">
        <f aca="false">+G404*F404</f>
        <v>18685.555</v>
      </c>
      <c r="I404" s="186"/>
      <c r="J404" s="170"/>
    </row>
    <row r="405" s="156" customFormat="true" ht="12.75" hidden="false" customHeight="false" outlineLevel="0" collapsed="false">
      <c r="A405" s="148"/>
      <c r="B405" s="165"/>
      <c r="C405" s="42"/>
      <c r="D405" s="166" t="s">
        <v>62</v>
      </c>
      <c r="E405" s="195" t="s">
        <v>30</v>
      </c>
      <c r="F405" s="161" t="n">
        <f aca="false">+G399+G400+G404</f>
        <v>5.5</v>
      </c>
      <c r="G405" s="137" t="s">
        <v>63</v>
      </c>
      <c r="H405" s="133" t="n">
        <f aca="false">SUM(H399:H404)</f>
        <v>944095.735</v>
      </c>
      <c r="I405" s="169"/>
      <c r="J405" s="170"/>
    </row>
    <row r="406" s="156" customFormat="true" ht="12.75" hidden="false" customHeight="false" outlineLevel="0" collapsed="false">
      <c r="A406" s="148"/>
      <c r="B406" s="165"/>
      <c r="C406" s="42"/>
      <c r="D406" s="175" t="s">
        <v>64</v>
      </c>
      <c r="E406" s="173" t="s">
        <v>30</v>
      </c>
      <c r="F406" s="167"/>
      <c r="G406" s="188"/>
      <c r="H406" s="133" t="n">
        <f aca="false">H405*8.33%</f>
        <v>78643.1747255</v>
      </c>
      <c r="I406" s="177"/>
      <c r="J406" s="178"/>
    </row>
    <row r="407" s="156" customFormat="true" ht="12.75" hidden="false" customHeight="false" outlineLevel="0" collapsed="false">
      <c r="A407" s="148"/>
      <c r="B407" s="165"/>
      <c r="C407" s="42"/>
      <c r="D407" s="175" t="s">
        <v>65</v>
      </c>
      <c r="E407" s="167"/>
      <c r="F407" s="167"/>
      <c r="G407" s="180"/>
      <c r="H407" s="133" t="n">
        <f aca="false">H405*7%</f>
        <v>66086.70145</v>
      </c>
      <c r="I407" s="181" t="n">
        <v>0</v>
      </c>
      <c r="J407" s="182" t="n">
        <f aca="false">+(H405+H406+H407)*C398</f>
        <v>2177651.222351</v>
      </c>
    </row>
    <row r="408" s="156" customFormat="true" ht="12.75" hidden="false" customHeight="false" outlineLevel="0" collapsed="false">
      <c r="A408" s="148"/>
      <c r="B408" s="165"/>
      <c r="C408" s="42"/>
      <c r="D408" s="183"/>
      <c r="E408" s="189"/>
      <c r="F408" s="161"/>
      <c r="G408" s="184"/>
      <c r="H408" s="185"/>
      <c r="I408" s="186"/>
      <c r="J408" s="170"/>
    </row>
    <row r="409" s="156" customFormat="true" ht="15" hidden="false" customHeight="true" outlineLevel="0" collapsed="false">
      <c r="A409" s="148"/>
      <c r="B409" s="149"/>
      <c r="C409" s="145" t="n">
        <v>1</v>
      </c>
      <c r="D409" s="159" t="s">
        <v>97</v>
      </c>
      <c r="E409" s="187" t="n">
        <v>94045.75</v>
      </c>
      <c r="F409" s="161"/>
      <c r="G409" s="190"/>
      <c r="H409" s="162"/>
      <c r="I409" s="191"/>
      <c r="J409" s="164"/>
    </row>
    <row r="410" s="156" customFormat="true" ht="12.75" hidden="false" customHeight="false" outlineLevel="0" collapsed="false">
      <c r="A410" s="148"/>
      <c r="B410" s="165"/>
      <c r="C410" s="42"/>
      <c r="D410" s="166" t="s">
        <v>54</v>
      </c>
      <c r="E410" s="193" t="s">
        <v>85</v>
      </c>
      <c r="F410" s="167" t="n">
        <f aca="false">E409</f>
        <v>94045.75</v>
      </c>
      <c r="G410" s="168" t="n">
        <v>1</v>
      </c>
      <c r="H410" s="133" t="n">
        <f aca="false">+G410*F410</f>
        <v>94045.75</v>
      </c>
      <c r="I410" s="186"/>
      <c r="J410" s="170"/>
    </row>
    <row r="411" s="156" customFormat="true" ht="12.75" hidden="false" customHeight="false" outlineLevel="0" collapsed="false">
      <c r="A411" s="148"/>
      <c r="B411" s="165"/>
      <c r="C411" s="42"/>
      <c r="D411" s="166" t="s">
        <v>4</v>
      </c>
      <c r="E411" s="194" t="s">
        <v>85</v>
      </c>
      <c r="F411" s="167" t="n">
        <f aca="false">F410</f>
        <v>94045.75</v>
      </c>
      <c r="G411" s="168" t="n">
        <v>3</v>
      </c>
      <c r="H411" s="133" t="n">
        <f aca="false">+G411*F411</f>
        <v>282137.25</v>
      </c>
      <c r="I411" s="186"/>
      <c r="J411" s="170"/>
    </row>
    <row r="412" s="156" customFormat="true" ht="12.75" hidden="false" customHeight="false" outlineLevel="0" collapsed="false">
      <c r="A412" s="148"/>
      <c r="B412" s="165"/>
      <c r="C412" s="42"/>
      <c r="D412" s="166" t="s">
        <v>56</v>
      </c>
      <c r="E412" s="172" t="n">
        <f aca="false">22*3</f>
        <v>66</v>
      </c>
      <c r="F412" s="167" t="n">
        <f aca="false">(F411/150)*2</f>
        <v>1253.94333333333</v>
      </c>
      <c r="G412" s="168" t="n">
        <f aca="false">+F416</f>
        <v>4</v>
      </c>
      <c r="H412" s="133" t="n">
        <f aca="false">+G412*F412*E412</f>
        <v>331041.04</v>
      </c>
      <c r="I412" s="186"/>
      <c r="J412" s="170"/>
    </row>
    <row r="413" s="156" customFormat="true" ht="12.75" hidden="false" customHeight="false" outlineLevel="0" collapsed="false">
      <c r="A413" s="148"/>
      <c r="B413" s="165"/>
      <c r="C413" s="42"/>
      <c r="D413" s="166" t="s">
        <v>57</v>
      </c>
      <c r="E413" s="195" t="s">
        <v>58</v>
      </c>
      <c r="F413" s="167" t="n">
        <v>0</v>
      </c>
      <c r="G413" s="133" t="n">
        <f aca="false">$H$3</f>
        <v>66</v>
      </c>
      <c r="H413" s="133" t="n">
        <f aca="false">+G413*F413</f>
        <v>0</v>
      </c>
      <c r="I413" s="186"/>
      <c r="J413" s="170"/>
    </row>
    <row r="414" s="156" customFormat="true" ht="12.75" hidden="false" customHeight="false" outlineLevel="0" collapsed="false">
      <c r="A414" s="148"/>
      <c r="B414" s="165"/>
      <c r="C414" s="42"/>
      <c r="D414" s="166" t="s">
        <v>59</v>
      </c>
      <c r="E414" s="195" t="s">
        <v>58</v>
      </c>
      <c r="F414" s="167" t="n">
        <v>0</v>
      </c>
      <c r="G414" s="133" t="n">
        <f aca="false">$H$4</f>
        <v>103</v>
      </c>
      <c r="H414" s="133" t="n">
        <f aca="false">+G414*F414</f>
        <v>0</v>
      </c>
      <c r="I414" s="186"/>
      <c r="J414" s="170"/>
    </row>
    <row r="415" s="156" customFormat="true" ht="12.75" hidden="false" customHeight="false" outlineLevel="0" collapsed="false">
      <c r="A415" s="148"/>
      <c r="B415" s="165"/>
      <c r="C415" s="42"/>
      <c r="D415" s="166" t="s">
        <v>60</v>
      </c>
      <c r="E415" s="194" t="s">
        <v>86</v>
      </c>
      <c r="F415" s="167" t="n">
        <f aca="false">E409</f>
        <v>94045.75</v>
      </c>
      <c r="G415" s="133" t="n">
        <v>0</v>
      </c>
      <c r="H415" s="133" t="n">
        <f aca="false">+G415*F415</f>
        <v>0</v>
      </c>
      <c r="I415" s="186"/>
      <c r="J415" s="170"/>
    </row>
    <row r="416" s="156" customFormat="true" ht="12.75" hidden="false" customHeight="false" outlineLevel="0" collapsed="false">
      <c r="A416" s="148"/>
      <c r="B416" s="165"/>
      <c r="C416" s="42"/>
      <c r="D416" s="166" t="s">
        <v>62</v>
      </c>
      <c r="E416" s="195" t="s">
        <v>30</v>
      </c>
      <c r="F416" s="161" t="n">
        <f aca="false">+G410+G411+G415</f>
        <v>4</v>
      </c>
      <c r="G416" s="137" t="s">
        <v>63</v>
      </c>
      <c r="H416" s="133" t="n">
        <f aca="false">SUM(H410:H415)</f>
        <v>707224.04</v>
      </c>
      <c r="I416" s="169"/>
      <c r="J416" s="170"/>
    </row>
    <row r="417" s="156" customFormat="true" ht="12.75" hidden="false" customHeight="false" outlineLevel="0" collapsed="false">
      <c r="A417" s="148"/>
      <c r="B417" s="165"/>
      <c r="C417" s="42"/>
      <c r="D417" s="175" t="s">
        <v>64</v>
      </c>
      <c r="E417" s="173" t="s">
        <v>30</v>
      </c>
      <c r="F417" s="167"/>
      <c r="G417" s="188"/>
      <c r="H417" s="133" t="n">
        <f aca="false">H416*8.33%</f>
        <v>58911.762532</v>
      </c>
      <c r="I417" s="177"/>
      <c r="J417" s="178"/>
    </row>
    <row r="418" s="156" customFormat="true" ht="12.75" hidden="false" customHeight="false" outlineLevel="0" collapsed="false">
      <c r="A418" s="148"/>
      <c r="B418" s="165"/>
      <c r="C418" s="42"/>
      <c r="D418" s="175" t="s">
        <v>65</v>
      </c>
      <c r="E418" s="167"/>
      <c r="F418" s="167"/>
      <c r="G418" s="180"/>
      <c r="H418" s="133" t="n">
        <f aca="false">H416*7%</f>
        <v>49505.6828</v>
      </c>
      <c r="I418" s="181" t="n">
        <v>0</v>
      </c>
      <c r="J418" s="182" t="n">
        <f aca="false">+(H416+H417+H418)*C409</f>
        <v>815641.485332</v>
      </c>
    </row>
    <row r="419" s="156" customFormat="true" ht="12.75" hidden="false" customHeight="false" outlineLevel="0" collapsed="false">
      <c r="A419" s="148"/>
      <c r="B419" s="165"/>
      <c r="C419" s="42"/>
      <c r="D419" s="183"/>
      <c r="E419" s="189"/>
      <c r="F419" s="161"/>
      <c r="G419" s="184"/>
      <c r="H419" s="185"/>
      <c r="I419" s="186"/>
      <c r="J419" s="170"/>
    </row>
    <row r="420" s="156" customFormat="true" ht="15" hidden="false" customHeight="true" outlineLevel="0" collapsed="false">
      <c r="A420" s="148"/>
      <c r="B420" s="149"/>
      <c r="C420" s="145" t="n">
        <v>1</v>
      </c>
      <c r="D420" s="159" t="s">
        <v>98</v>
      </c>
      <c r="E420" s="187" t="n">
        <v>171110.03</v>
      </c>
      <c r="F420" s="161"/>
      <c r="G420" s="190"/>
      <c r="H420" s="162"/>
      <c r="I420" s="191"/>
      <c r="J420" s="164"/>
    </row>
    <row r="421" s="156" customFormat="true" ht="12.75" hidden="false" customHeight="false" outlineLevel="0" collapsed="false">
      <c r="A421" s="148"/>
      <c r="B421" s="165"/>
      <c r="C421" s="42"/>
      <c r="D421" s="166" t="s">
        <v>54</v>
      </c>
      <c r="E421" s="193" t="s">
        <v>85</v>
      </c>
      <c r="F421" s="167" t="n">
        <f aca="false">E420</f>
        <v>171110.03</v>
      </c>
      <c r="G421" s="168" t="n">
        <v>1.5</v>
      </c>
      <c r="H421" s="133" t="n">
        <f aca="false">+G421*F421</f>
        <v>256665.045</v>
      </c>
      <c r="I421" s="186"/>
      <c r="J421" s="170"/>
    </row>
    <row r="422" s="156" customFormat="true" ht="12.75" hidden="false" customHeight="false" outlineLevel="0" collapsed="false">
      <c r="A422" s="148"/>
      <c r="B422" s="165"/>
      <c r="C422" s="42"/>
      <c r="D422" s="166" t="s">
        <v>4</v>
      </c>
      <c r="E422" s="194" t="s">
        <v>85</v>
      </c>
      <c r="F422" s="167" t="n">
        <f aca="false">F421</f>
        <v>171110.03</v>
      </c>
      <c r="G422" s="168" t="n">
        <v>3</v>
      </c>
      <c r="H422" s="133" t="n">
        <f aca="false">+G422*F422</f>
        <v>513330.09</v>
      </c>
      <c r="I422" s="186"/>
      <c r="J422" s="170"/>
    </row>
    <row r="423" s="156" customFormat="true" ht="12.75" hidden="false" customHeight="false" outlineLevel="0" collapsed="false">
      <c r="A423" s="148"/>
      <c r="B423" s="165"/>
      <c r="C423" s="42"/>
      <c r="D423" s="166" t="s">
        <v>56</v>
      </c>
      <c r="E423" s="172" t="n">
        <f aca="false">22*3</f>
        <v>66</v>
      </c>
      <c r="F423" s="167" t="n">
        <f aca="false">(F422/150)*2</f>
        <v>2281.46706666667</v>
      </c>
      <c r="G423" s="168" t="n">
        <f aca="false">+F427</f>
        <v>4.5</v>
      </c>
      <c r="H423" s="133" t="n">
        <f aca="false">+G423*F423*E423</f>
        <v>677595.7188</v>
      </c>
      <c r="I423" s="186"/>
      <c r="J423" s="170"/>
    </row>
    <row r="424" s="156" customFormat="true" ht="12.75" hidden="false" customHeight="false" outlineLevel="0" collapsed="false">
      <c r="A424" s="148"/>
      <c r="B424" s="165"/>
      <c r="C424" s="42"/>
      <c r="D424" s="166" t="s">
        <v>57</v>
      </c>
      <c r="E424" s="195" t="s">
        <v>58</v>
      </c>
      <c r="F424" s="167" t="n">
        <v>0</v>
      </c>
      <c r="G424" s="133" t="n">
        <f aca="false">$H$3</f>
        <v>66</v>
      </c>
      <c r="H424" s="133" t="n">
        <f aca="false">+G424*F424</f>
        <v>0</v>
      </c>
      <c r="I424" s="186"/>
      <c r="J424" s="170"/>
    </row>
    <row r="425" s="156" customFormat="true" ht="12.75" hidden="false" customHeight="false" outlineLevel="0" collapsed="false">
      <c r="A425" s="148"/>
      <c r="B425" s="165"/>
      <c r="C425" s="42"/>
      <c r="D425" s="166" t="s">
        <v>59</v>
      </c>
      <c r="E425" s="195" t="s">
        <v>58</v>
      </c>
      <c r="F425" s="167" t="n">
        <v>0</v>
      </c>
      <c r="G425" s="133" t="n">
        <f aca="false">$H$4</f>
        <v>103</v>
      </c>
      <c r="H425" s="133" t="n">
        <f aca="false">+G425*F425</f>
        <v>0</v>
      </c>
      <c r="I425" s="186"/>
      <c r="J425" s="170"/>
    </row>
    <row r="426" s="156" customFormat="true" ht="12.75" hidden="false" customHeight="false" outlineLevel="0" collapsed="false">
      <c r="A426" s="148"/>
      <c r="B426" s="165"/>
      <c r="C426" s="42"/>
      <c r="D426" s="166" t="s">
        <v>60</v>
      </c>
      <c r="E426" s="194" t="s">
        <v>86</v>
      </c>
      <c r="F426" s="167" t="n">
        <f aca="false">E420</f>
        <v>171110.03</v>
      </c>
      <c r="G426" s="133" t="n">
        <v>0</v>
      </c>
      <c r="H426" s="133" t="n">
        <f aca="false">+G426*F426</f>
        <v>0</v>
      </c>
      <c r="I426" s="186"/>
      <c r="J426" s="170"/>
    </row>
    <row r="427" s="156" customFormat="true" ht="12.75" hidden="false" customHeight="false" outlineLevel="0" collapsed="false">
      <c r="A427" s="148"/>
      <c r="B427" s="165"/>
      <c r="C427" s="42"/>
      <c r="D427" s="166" t="s">
        <v>62</v>
      </c>
      <c r="E427" s="195" t="s">
        <v>30</v>
      </c>
      <c r="F427" s="161" t="n">
        <f aca="false">+G421+G422+G426</f>
        <v>4.5</v>
      </c>
      <c r="G427" s="137" t="s">
        <v>63</v>
      </c>
      <c r="H427" s="133" t="n">
        <f aca="false">SUM(H421:H426)</f>
        <v>1447590.8538</v>
      </c>
      <c r="I427" s="169"/>
      <c r="J427" s="170"/>
    </row>
    <row r="428" s="156" customFormat="true" ht="12.75" hidden="false" customHeight="false" outlineLevel="0" collapsed="false">
      <c r="A428" s="148"/>
      <c r="B428" s="165"/>
      <c r="C428" s="42"/>
      <c r="D428" s="175" t="s">
        <v>64</v>
      </c>
      <c r="E428" s="173" t="s">
        <v>30</v>
      </c>
      <c r="F428" s="167"/>
      <c r="G428" s="188"/>
      <c r="H428" s="133" t="n">
        <f aca="false">H427*8.33%</f>
        <v>120584.31812154</v>
      </c>
      <c r="I428" s="177"/>
      <c r="J428" s="178"/>
    </row>
    <row r="429" s="156" customFormat="true" ht="12.75" hidden="false" customHeight="false" outlineLevel="0" collapsed="false">
      <c r="A429" s="148"/>
      <c r="B429" s="165"/>
      <c r="C429" s="42"/>
      <c r="D429" s="175" t="s">
        <v>65</v>
      </c>
      <c r="E429" s="167"/>
      <c r="F429" s="167"/>
      <c r="G429" s="180"/>
      <c r="H429" s="133" t="n">
        <f aca="false">H427*7%</f>
        <v>101331.359766</v>
      </c>
      <c r="I429" s="181" t="n">
        <v>0</v>
      </c>
      <c r="J429" s="182" t="n">
        <f aca="false">+(H427+H428+H429)*C420</f>
        <v>1669506.53168754</v>
      </c>
    </row>
    <row r="430" s="156" customFormat="true" ht="12.75" hidden="false" customHeight="false" outlineLevel="0" collapsed="false">
      <c r="A430" s="148"/>
      <c r="B430" s="165"/>
      <c r="C430" s="42"/>
      <c r="D430" s="183"/>
      <c r="E430" s="119"/>
      <c r="F430" s="161"/>
      <c r="G430" s="184"/>
      <c r="H430" s="185"/>
      <c r="I430" s="186"/>
      <c r="J430" s="170"/>
    </row>
    <row r="431" s="156" customFormat="true" ht="15" hidden="false" customHeight="true" outlineLevel="0" collapsed="false">
      <c r="A431" s="148"/>
      <c r="B431" s="149"/>
      <c r="C431" s="145" t="n">
        <v>1</v>
      </c>
      <c r="D431" s="159" t="s">
        <v>99</v>
      </c>
      <c r="E431" s="187" t="n">
        <v>129385.85</v>
      </c>
      <c r="F431" s="161"/>
      <c r="G431" s="190"/>
      <c r="H431" s="162"/>
      <c r="I431" s="191"/>
      <c r="J431" s="164"/>
    </row>
    <row r="432" s="156" customFormat="true" ht="12.75" hidden="false" customHeight="false" outlineLevel="0" collapsed="false">
      <c r="A432" s="148"/>
      <c r="B432" s="165"/>
      <c r="C432" s="42"/>
      <c r="D432" s="166" t="s">
        <v>54</v>
      </c>
      <c r="E432" s="193" t="s">
        <v>85</v>
      </c>
      <c r="F432" s="167" t="n">
        <f aca="false">E431</f>
        <v>129385.85</v>
      </c>
      <c r="G432" s="168" t="n">
        <v>1</v>
      </c>
      <c r="H432" s="133" t="n">
        <f aca="false">+G432*F432</f>
        <v>129385.85</v>
      </c>
      <c r="I432" s="186"/>
      <c r="J432" s="170"/>
    </row>
    <row r="433" s="156" customFormat="true" ht="12.75" hidden="false" customHeight="false" outlineLevel="0" collapsed="false">
      <c r="A433" s="148"/>
      <c r="B433" s="165"/>
      <c r="C433" s="42"/>
      <c r="D433" s="166" t="s">
        <v>4</v>
      </c>
      <c r="E433" s="194" t="s">
        <v>85</v>
      </c>
      <c r="F433" s="167" t="n">
        <f aca="false">F432</f>
        <v>129385.85</v>
      </c>
      <c r="G433" s="168" t="n">
        <v>3</v>
      </c>
      <c r="H433" s="133" t="n">
        <f aca="false">+G433*F433</f>
        <v>388157.55</v>
      </c>
      <c r="I433" s="186"/>
      <c r="J433" s="170"/>
    </row>
    <row r="434" s="156" customFormat="true" ht="12.75" hidden="false" customHeight="false" outlineLevel="0" collapsed="false">
      <c r="A434" s="148"/>
      <c r="B434" s="165"/>
      <c r="C434" s="42"/>
      <c r="D434" s="166" t="s">
        <v>56</v>
      </c>
      <c r="E434" s="172" t="n">
        <f aca="false">22*3</f>
        <v>66</v>
      </c>
      <c r="F434" s="167" t="n">
        <f aca="false">(F433/150)*2</f>
        <v>1725.14466666667</v>
      </c>
      <c r="G434" s="168" t="n">
        <f aca="false">+F438</f>
        <v>4</v>
      </c>
      <c r="H434" s="133" t="n">
        <f aca="false">+G434*F434*E434</f>
        <v>455438.192</v>
      </c>
      <c r="I434" s="186"/>
      <c r="J434" s="170"/>
    </row>
    <row r="435" s="156" customFormat="true" ht="12.75" hidden="false" customHeight="false" outlineLevel="0" collapsed="false">
      <c r="A435" s="148"/>
      <c r="B435" s="165"/>
      <c r="C435" s="42"/>
      <c r="D435" s="166" t="s">
        <v>57</v>
      </c>
      <c r="E435" s="195" t="s">
        <v>58</v>
      </c>
      <c r="F435" s="167" t="n">
        <v>0</v>
      </c>
      <c r="G435" s="133" t="n">
        <f aca="false">$H$3</f>
        <v>66</v>
      </c>
      <c r="H435" s="133" t="n">
        <f aca="false">+G435*F435</f>
        <v>0</v>
      </c>
      <c r="I435" s="186"/>
      <c r="J435" s="170"/>
    </row>
    <row r="436" s="156" customFormat="true" ht="12.75" hidden="false" customHeight="false" outlineLevel="0" collapsed="false">
      <c r="A436" s="148"/>
      <c r="B436" s="165"/>
      <c r="C436" s="42"/>
      <c r="D436" s="166" t="s">
        <v>59</v>
      </c>
      <c r="E436" s="195" t="s">
        <v>58</v>
      </c>
      <c r="F436" s="167" t="n">
        <v>0</v>
      </c>
      <c r="G436" s="133" t="n">
        <f aca="false">$H$4</f>
        <v>103</v>
      </c>
      <c r="H436" s="133" t="n">
        <f aca="false">+G436*F436</f>
        <v>0</v>
      </c>
      <c r="I436" s="186"/>
      <c r="J436" s="170"/>
    </row>
    <row r="437" s="156" customFormat="true" ht="12.75" hidden="false" customHeight="false" outlineLevel="0" collapsed="false">
      <c r="A437" s="148"/>
      <c r="B437" s="165"/>
      <c r="C437" s="42"/>
      <c r="D437" s="166" t="s">
        <v>60</v>
      </c>
      <c r="E437" s="194" t="s">
        <v>86</v>
      </c>
      <c r="F437" s="167" t="n">
        <f aca="false">E431</f>
        <v>129385.85</v>
      </c>
      <c r="G437" s="133" t="n">
        <v>0</v>
      </c>
      <c r="H437" s="133" t="n">
        <f aca="false">+G437*F437</f>
        <v>0</v>
      </c>
      <c r="I437" s="186"/>
      <c r="J437" s="170"/>
    </row>
    <row r="438" s="156" customFormat="true" ht="12.75" hidden="false" customHeight="false" outlineLevel="0" collapsed="false">
      <c r="A438" s="148"/>
      <c r="B438" s="165"/>
      <c r="C438" s="42"/>
      <c r="D438" s="166" t="s">
        <v>62</v>
      </c>
      <c r="E438" s="195" t="s">
        <v>30</v>
      </c>
      <c r="F438" s="161" t="n">
        <f aca="false">+G432+G433+G437</f>
        <v>4</v>
      </c>
      <c r="G438" s="137" t="s">
        <v>63</v>
      </c>
      <c r="H438" s="133" t="n">
        <f aca="false">SUM(H432:H437)</f>
        <v>972981.592</v>
      </c>
      <c r="I438" s="169"/>
      <c r="J438" s="170"/>
    </row>
    <row r="439" s="156" customFormat="true" ht="12.75" hidden="false" customHeight="false" outlineLevel="0" collapsed="false">
      <c r="A439" s="148"/>
      <c r="B439" s="165"/>
      <c r="C439" s="42"/>
      <c r="D439" s="175" t="s">
        <v>64</v>
      </c>
      <c r="E439" s="173" t="s">
        <v>30</v>
      </c>
      <c r="F439" s="167"/>
      <c r="G439" s="188"/>
      <c r="H439" s="133" t="n">
        <f aca="false">H438*8.33%</f>
        <v>81049.3666136</v>
      </c>
      <c r="I439" s="177"/>
      <c r="J439" s="178"/>
    </row>
    <row r="440" s="156" customFormat="true" ht="12.75" hidden="false" customHeight="false" outlineLevel="0" collapsed="false">
      <c r="A440" s="148"/>
      <c r="B440" s="165"/>
      <c r="C440" s="42"/>
      <c r="D440" s="175" t="s">
        <v>65</v>
      </c>
      <c r="E440" s="167"/>
      <c r="F440" s="167"/>
      <c r="G440" s="180"/>
      <c r="H440" s="133" t="n">
        <f aca="false">H438*7%</f>
        <v>68108.71144</v>
      </c>
      <c r="I440" s="181" t="n">
        <v>0</v>
      </c>
      <c r="J440" s="182" t="n">
        <f aca="false">+(H438+H439+H440)*C431</f>
        <v>1122139.6700536</v>
      </c>
    </row>
    <row r="441" s="156" customFormat="true" ht="12.75" hidden="false" customHeight="false" outlineLevel="0" collapsed="false">
      <c r="A441" s="148"/>
      <c r="B441" s="165"/>
      <c r="C441" s="42"/>
      <c r="D441" s="183"/>
      <c r="E441" s="119"/>
      <c r="F441" s="161"/>
      <c r="G441" s="184"/>
      <c r="H441" s="185"/>
      <c r="I441" s="186"/>
      <c r="J441" s="170"/>
    </row>
    <row r="442" s="156" customFormat="true" ht="15" hidden="false" customHeight="true" outlineLevel="0" collapsed="false">
      <c r="A442" s="148"/>
      <c r="B442" s="149"/>
      <c r="C442" s="145" t="n">
        <v>2</v>
      </c>
      <c r="D442" s="159" t="s">
        <v>100</v>
      </c>
      <c r="E442" s="187" t="n">
        <v>101647.54</v>
      </c>
      <c r="F442" s="161"/>
      <c r="G442" s="190"/>
      <c r="H442" s="162"/>
      <c r="I442" s="191"/>
      <c r="J442" s="164"/>
    </row>
    <row r="443" s="156" customFormat="true" ht="12.75" hidden="false" customHeight="false" outlineLevel="0" collapsed="false">
      <c r="A443" s="148"/>
      <c r="B443" s="165"/>
      <c r="C443" s="42"/>
      <c r="D443" s="166" t="s">
        <v>54</v>
      </c>
      <c r="E443" s="193" t="s">
        <v>85</v>
      </c>
      <c r="F443" s="167" t="n">
        <f aca="false">E442</f>
        <v>101647.54</v>
      </c>
      <c r="G443" s="168" t="n">
        <v>0.5</v>
      </c>
      <c r="H443" s="133" t="n">
        <f aca="false">+G443*F443</f>
        <v>50823.77</v>
      </c>
      <c r="I443" s="186"/>
      <c r="J443" s="170"/>
    </row>
    <row r="444" s="156" customFormat="true" ht="12.75" hidden="false" customHeight="false" outlineLevel="0" collapsed="false">
      <c r="A444" s="148"/>
      <c r="B444" s="165"/>
      <c r="C444" s="42"/>
      <c r="D444" s="166" t="s">
        <v>4</v>
      </c>
      <c r="E444" s="194" t="s">
        <v>85</v>
      </c>
      <c r="F444" s="167" t="n">
        <f aca="false">F443</f>
        <v>101647.54</v>
      </c>
      <c r="G444" s="168" t="n">
        <v>3</v>
      </c>
      <c r="H444" s="133" t="n">
        <f aca="false">+G444*F444</f>
        <v>304942.62</v>
      </c>
      <c r="I444" s="186"/>
      <c r="J444" s="170"/>
    </row>
    <row r="445" s="156" customFormat="true" ht="12.75" hidden="false" customHeight="false" outlineLevel="0" collapsed="false">
      <c r="A445" s="148"/>
      <c r="B445" s="165"/>
      <c r="C445" s="42"/>
      <c r="D445" s="166" t="s">
        <v>56</v>
      </c>
      <c r="E445" s="172" t="n">
        <f aca="false">22*3</f>
        <v>66</v>
      </c>
      <c r="F445" s="167" t="n">
        <f aca="false">(F444/150)*2</f>
        <v>1355.30053333333</v>
      </c>
      <c r="G445" s="168" t="n">
        <f aca="false">+F449</f>
        <v>3.5</v>
      </c>
      <c r="H445" s="133" t="n">
        <f aca="false">+G445*F445*E445</f>
        <v>313074.4232</v>
      </c>
      <c r="I445" s="186"/>
      <c r="J445" s="170"/>
    </row>
    <row r="446" s="156" customFormat="true" ht="12.75" hidden="false" customHeight="false" outlineLevel="0" collapsed="false">
      <c r="A446" s="148"/>
      <c r="B446" s="165"/>
      <c r="C446" s="42"/>
      <c r="D446" s="166" t="s">
        <v>57</v>
      </c>
      <c r="E446" s="195" t="s">
        <v>58</v>
      </c>
      <c r="F446" s="167" t="n">
        <v>0</v>
      </c>
      <c r="G446" s="133" t="n">
        <f aca="false">$H$3</f>
        <v>66</v>
      </c>
      <c r="H446" s="133" t="n">
        <f aca="false">+G446*F446</f>
        <v>0</v>
      </c>
      <c r="I446" s="186"/>
      <c r="J446" s="170"/>
    </row>
    <row r="447" s="156" customFormat="true" ht="12.75" hidden="false" customHeight="false" outlineLevel="0" collapsed="false">
      <c r="A447" s="148"/>
      <c r="B447" s="165"/>
      <c r="C447" s="42"/>
      <c r="D447" s="166" t="s">
        <v>59</v>
      </c>
      <c r="E447" s="195" t="s">
        <v>58</v>
      </c>
      <c r="F447" s="167" t="n">
        <v>0</v>
      </c>
      <c r="G447" s="133" t="n">
        <f aca="false">$H$4</f>
        <v>103</v>
      </c>
      <c r="H447" s="133" t="n">
        <f aca="false">+G447*F447</f>
        <v>0</v>
      </c>
      <c r="I447" s="186"/>
      <c r="J447" s="170"/>
    </row>
    <row r="448" s="156" customFormat="true" ht="12.75" hidden="false" customHeight="false" outlineLevel="0" collapsed="false">
      <c r="A448" s="148"/>
      <c r="B448" s="165"/>
      <c r="C448" s="42"/>
      <c r="D448" s="166" t="s">
        <v>60</v>
      </c>
      <c r="E448" s="194" t="s">
        <v>86</v>
      </c>
      <c r="F448" s="167" t="n">
        <f aca="false">E442</f>
        <v>101647.54</v>
      </c>
      <c r="G448" s="133" t="n">
        <v>0</v>
      </c>
      <c r="H448" s="133" t="n">
        <f aca="false">+G448*F448</f>
        <v>0</v>
      </c>
      <c r="I448" s="186"/>
      <c r="J448" s="170"/>
    </row>
    <row r="449" s="156" customFormat="true" ht="12.75" hidden="false" customHeight="false" outlineLevel="0" collapsed="false">
      <c r="A449" s="148"/>
      <c r="B449" s="165"/>
      <c r="C449" s="42"/>
      <c r="D449" s="166" t="s">
        <v>62</v>
      </c>
      <c r="E449" s="195" t="s">
        <v>30</v>
      </c>
      <c r="F449" s="161" t="n">
        <f aca="false">+G443+G444+G448</f>
        <v>3.5</v>
      </c>
      <c r="G449" s="137" t="s">
        <v>63</v>
      </c>
      <c r="H449" s="133" t="n">
        <f aca="false">SUM(H443:H448)</f>
        <v>668840.8132</v>
      </c>
      <c r="I449" s="169"/>
      <c r="J449" s="170"/>
    </row>
    <row r="450" s="156" customFormat="true" ht="12.75" hidden="false" customHeight="false" outlineLevel="0" collapsed="false">
      <c r="A450" s="148"/>
      <c r="B450" s="165"/>
      <c r="C450" s="42"/>
      <c r="D450" s="175" t="s">
        <v>64</v>
      </c>
      <c r="E450" s="173" t="s">
        <v>30</v>
      </c>
      <c r="F450" s="167"/>
      <c r="G450" s="188"/>
      <c r="H450" s="133" t="n">
        <f aca="false">H449*8.33%</f>
        <v>55714.43973956</v>
      </c>
      <c r="I450" s="177"/>
      <c r="J450" s="178"/>
    </row>
    <row r="451" s="156" customFormat="true" ht="12.75" hidden="false" customHeight="false" outlineLevel="0" collapsed="false">
      <c r="A451" s="148"/>
      <c r="B451" s="165"/>
      <c r="C451" s="42"/>
      <c r="D451" s="175" t="s">
        <v>65</v>
      </c>
      <c r="E451" s="167"/>
      <c r="F451" s="167"/>
      <c r="G451" s="180"/>
      <c r="H451" s="133" t="n">
        <f aca="false">H449*7%</f>
        <v>46818.856924</v>
      </c>
      <c r="I451" s="181" t="n">
        <v>0</v>
      </c>
      <c r="J451" s="182" t="n">
        <f aca="false">+(H449+H450+H451)*C442</f>
        <v>1542748.21972712</v>
      </c>
    </row>
    <row r="452" s="156" customFormat="true" ht="12.75" hidden="false" customHeight="false" outlineLevel="0" collapsed="false">
      <c r="A452" s="148"/>
      <c r="B452" s="165"/>
      <c r="C452" s="42"/>
      <c r="D452" s="183"/>
      <c r="E452" s="119"/>
      <c r="F452" s="161"/>
      <c r="G452" s="184"/>
      <c r="H452" s="185"/>
      <c r="I452" s="186"/>
      <c r="J452" s="170"/>
    </row>
    <row r="453" s="156" customFormat="true" ht="15" hidden="false" customHeight="true" outlineLevel="0" collapsed="false">
      <c r="A453" s="148"/>
      <c r="B453" s="149"/>
      <c r="C453" s="145" t="n">
        <v>1</v>
      </c>
      <c r="D453" s="159" t="s">
        <v>101</v>
      </c>
      <c r="E453" s="187" t="n">
        <v>119478.26</v>
      </c>
      <c r="F453" s="161"/>
      <c r="G453" s="190"/>
      <c r="H453" s="162"/>
      <c r="I453" s="191"/>
      <c r="J453" s="164"/>
    </row>
    <row r="454" s="156" customFormat="true" ht="12.75" hidden="false" customHeight="false" outlineLevel="0" collapsed="false">
      <c r="A454" s="148"/>
      <c r="B454" s="165"/>
      <c r="C454" s="42"/>
      <c r="D454" s="166" t="s">
        <v>54</v>
      </c>
      <c r="E454" s="193" t="s">
        <v>85</v>
      </c>
      <c r="F454" s="167" t="n">
        <f aca="false">E453</f>
        <v>119478.26</v>
      </c>
      <c r="G454" s="168" t="n">
        <v>0.25</v>
      </c>
      <c r="H454" s="133" t="n">
        <f aca="false">+G454*F454</f>
        <v>29869.565</v>
      </c>
      <c r="I454" s="186"/>
      <c r="J454" s="170"/>
    </row>
    <row r="455" s="156" customFormat="true" ht="12.75" hidden="false" customHeight="false" outlineLevel="0" collapsed="false">
      <c r="A455" s="148"/>
      <c r="B455" s="165"/>
      <c r="C455" s="42"/>
      <c r="D455" s="166" t="s">
        <v>4</v>
      </c>
      <c r="E455" s="194" t="s">
        <v>85</v>
      </c>
      <c r="F455" s="167" t="n">
        <f aca="false">F454</f>
        <v>119478.26</v>
      </c>
      <c r="G455" s="168" t="n">
        <v>3</v>
      </c>
      <c r="H455" s="133" t="n">
        <f aca="false">+G455*F455</f>
        <v>358434.78</v>
      </c>
      <c r="I455" s="186"/>
      <c r="J455" s="170"/>
    </row>
    <row r="456" s="156" customFormat="true" ht="12.75" hidden="false" customHeight="false" outlineLevel="0" collapsed="false">
      <c r="A456" s="148"/>
      <c r="B456" s="165"/>
      <c r="C456" s="42"/>
      <c r="D456" s="166" t="s">
        <v>56</v>
      </c>
      <c r="E456" s="172" t="n">
        <f aca="false">22*3</f>
        <v>66</v>
      </c>
      <c r="F456" s="167" t="n">
        <f aca="false">(F455/150)*2</f>
        <v>1593.04346666667</v>
      </c>
      <c r="G456" s="168" t="n">
        <f aca="false">+F460</f>
        <v>3.25</v>
      </c>
      <c r="H456" s="133" t="n">
        <f aca="false">+G456*F456*E456</f>
        <v>341707.8236</v>
      </c>
      <c r="I456" s="186"/>
      <c r="J456" s="170"/>
    </row>
    <row r="457" s="156" customFormat="true" ht="12.75" hidden="false" customHeight="false" outlineLevel="0" collapsed="false">
      <c r="A457" s="148"/>
      <c r="B457" s="165"/>
      <c r="C457" s="42"/>
      <c r="D457" s="166" t="s">
        <v>57</v>
      </c>
      <c r="E457" s="195" t="s">
        <v>58</v>
      </c>
      <c r="F457" s="167" t="n">
        <v>0</v>
      </c>
      <c r="G457" s="133" t="n">
        <f aca="false">$H$3</f>
        <v>66</v>
      </c>
      <c r="H457" s="133" t="n">
        <f aca="false">+G457*F457</f>
        <v>0</v>
      </c>
      <c r="I457" s="186"/>
      <c r="J457" s="170"/>
    </row>
    <row r="458" s="156" customFormat="true" ht="12.75" hidden="false" customHeight="false" outlineLevel="0" collapsed="false">
      <c r="A458" s="148"/>
      <c r="B458" s="165"/>
      <c r="C458" s="42"/>
      <c r="D458" s="166" t="s">
        <v>59</v>
      </c>
      <c r="E458" s="195" t="s">
        <v>58</v>
      </c>
      <c r="F458" s="167" t="n">
        <v>0</v>
      </c>
      <c r="G458" s="133" t="n">
        <f aca="false">$H$4</f>
        <v>103</v>
      </c>
      <c r="H458" s="133" t="n">
        <f aca="false">+G458*F458</f>
        <v>0</v>
      </c>
      <c r="I458" s="186"/>
      <c r="J458" s="170"/>
    </row>
    <row r="459" s="156" customFormat="true" ht="12.75" hidden="false" customHeight="false" outlineLevel="0" collapsed="false">
      <c r="A459" s="148"/>
      <c r="B459" s="165"/>
      <c r="C459" s="42"/>
      <c r="D459" s="166" t="s">
        <v>60</v>
      </c>
      <c r="E459" s="194" t="s">
        <v>86</v>
      </c>
      <c r="F459" s="167" t="n">
        <f aca="false">E453</f>
        <v>119478.26</v>
      </c>
      <c r="G459" s="133" t="n">
        <v>0</v>
      </c>
      <c r="H459" s="133" t="n">
        <f aca="false">+G459*F459</f>
        <v>0</v>
      </c>
      <c r="I459" s="186"/>
      <c r="J459" s="170"/>
    </row>
    <row r="460" s="156" customFormat="true" ht="12.75" hidden="false" customHeight="false" outlineLevel="0" collapsed="false">
      <c r="A460" s="148"/>
      <c r="B460" s="165"/>
      <c r="C460" s="42"/>
      <c r="D460" s="166" t="s">
        <v>62</v>
      </c>
      <c r="E460" s="195" t="s">
        <v>30</v>
      </c>
      <c r="F460" s="161" t="n">
        <f aca="false">+G454+G455+G459</f>
        <v>3.25</v>
      </c>
      <c r="G460" s="137" t="s">
        <v>63</v>
      </c>
      <c r="H460" s="133" t="n">
        <f aca="false">SUM(H454:H459)</f>
        <v>730012.1686</v>
      </c>
      <c r="I460" s="169"/>
      <c r="J460" s="170"/>
    </row>
    <row r="461" s="156" customFormat="true" ht="12.75" hidden="false" customHeight="false" outlineLevel="0" collapsed="false">
      <c r="A461" s="148"/>
      <c r="B461" s="165"/>
      <c r="C461" s="42"/>
      <c r="D461" s="175" t="s">
        <v>64</v>
      </c>
      <c r="E461" s="173" t="s">
        <v>30</v>
      </c>
      <c r="F461" s="167"/>
      <c r="G461" s="188"/>
      <c r="H461" s="133" t="n">
        <f aca="false">H460*8.33%</f>
        <v>60810.01364438</v>
      </c>
      <c r="I461" s="177"/>
      <c r="J461" s="178"/>
    </row>
    <row r="462" s="156" customFormat="true" ht="12.75" hidden="false" customHeight="false" outlineLevel="0" collapsed="false">
      <c r="A462" s="148"/>
      <c r="B462" s="165"/>
      <c r="C462" s="42"/>
      <c r="D462" s="175" t="s">
        <v>65</v>
      </c>
      <c r="E462" s="167"/>
      <c r="F462" s="167"/>
      <c r="G462" s="180"/>
      <c r="H462" s="133" t="n">
        <f aca="false">H460*7%</f>
        <v>51100.851802</v>
      </c>
      <c r="I462" s="181" t="n">
        <v>0</v>
      </c>
      <c r="J462" s="182" t="n">
        <f aca="false">+(H460+H461+H462)*C453</f>
        <v>841923.03404638</v>
      </c>
    </row>
    <row r="463" s="156" customFormat="true" ht="12.75" hidden="false" customHeight="false" outlineLevel="0" collapsed="false">
      <c r="A463" s="148"/>
      <c r="B463" s="165"/>
      <c r="C463" s="42"/>
      <c r="D463" s="183"/>
      <c r="E463" s="119"/>
      <c r="F463" s="161"/>
      <c r="G463" s="184"/>
      <c r="H463" s="185"/>
      <c r="I463" s="186"/>
      <c r="J463" s="170"/>
    </row>
    <row r="464" s="156" customFormat="true" ht="15" hidden="false" customHeight="true" outlineLevel="0" collapsed="false">
      <c r="A464" s="148"/>
      <c r="B464" s="149"/>
      <c r="C464" s="145" t="n">
        <v>2</v>
      </c>
      <c r="D464" s="159" t="s">
        <v>102</v>
      </c>
      <c r="E464" s="187" t="n">
        <v>94045.75</v>
      </c>
      <c r="F464" s="161"/>
      <c r="G464" s="190"/>
      <c r="H464" s="162"/>
      <c r="I464" s="191"/>
      <c r="J464" s="164"/>
    </row>
    <row r="465" s="156" customFormat="true" ht="12.75" hidden="false" customHeight="false" outlineLevel="0" collapsed="false">
      <c r="A465" s="148"/>
      <c r="B465" s="165"/>
      <c r="C465" s="42"/>
      <c r="D465" s="166" t="s">
        <v>54</v>
      </c>
      <c r="E465" s="193" t="s">
        <v>85</v>
      </c>
      <c r="F465" s="167" t="n">
        <f aca="false">E464</f>
        <v>94045.75</v>
      </c>
      <c r="G465" s="168" t="n">
        <v>0.25</v>
      </c>
      <c r="H465" s="133" t="n">
        <f aca="false">F465*G465</f>
        <v>23511.4375</v>
      </c>
      <c r="I465" s="186"/>
      <c r="J465" s="170"/>
    </row>
    <row r="466" s="156" customFormat="true" ht="12.75" hidden="false" customHeight="false" outlineLevel="0" collapsed="false">
      <c r="A466" s="148"/>
      <c r="B466" s="165"/>
      <c r="C466" s="42"/>
      <c r="D466" s="166" t="s">
        <v>4</v>
      </c>
      <c r="E466" s="194" t="s">
        <v>85</v>
      </c>
      <c r="F466" s="167" t="n">
        <f aca="false">F465</f>
        <v>94045.75</v>
      </c>
      <c r="G466" s="168" t="n">
        <v>3</v>
      </c>
      <c r="H466" s="133" t="n">
        <f aca="false">+G466*F466</f>
        <v>282137.25</v>
      </c>
      <c r="I466" s="186"/>
      <c r="J466" s="170"/>
    </row>
    <row r="467" s="156" customFormat="true" ht="12.75" hidden="false" customHeight="false" outlineLevel="0" collapsed="false">
      <c r="A467" s="148"/>
      <c r="B467" s="165"/>
      <c r="C467" s="42"/>
      <c r="D467" s="166" t="s">
        <v>56</v>
      </c>
      <c r="E467" s="172" t="n">
        <f aca="false">22*3</f>
        <v>66</v>
      </c>
      <c r="F467" s="167" t="n">
        <f aca="false">(F466/150)*2</f>
        <v>1253.94333333333</v>
      </c>
      <c r="G467" s="168" t="n">
        <f aca="false">+F471</f>
        <v>3.25</v>
      </c>
      <c r="H467" s="133" t="n">
        <f aca="false">+G467*F467*E467</f>
        <v>268970.845</v>
      </c>
      <c r="I467" s="186"/>
      <c r="J467" s="170"/>
    </row>
    <row r="468" s="156" customFormat="true" ht="12.75" hidden="false" customHeight="false" outlineLevel="0" collapsed="false">
      <c r="A468" s="148"/>
      <c r="B468" s="165"/>
      <c r="C468" s="42"/>
      <c r="D468" s="166" t="s">
        <v>57</v>
      </c>
      <c r="E468" s="195" t="s">
        <v>58</v>
      </c>
      <c r="F468" s="167" t="n">
        <v>0</v>
      </c>
      <c r="G468" s="133" t="n">
        <f aca="false">$H$3</f>
        <v>66</v>
      </c>
      <c r="H468" s="133" t="n">
        <f aca="false">+G468*F468</f>
        <v>0</v>
      </c>
      <c r="I468" s="186"/>
      <c r="J468" s="170"/>
    </row>
    <row r="469" s="156" customFormat="true" ht="12.75" hidden="false" customHeight="false" outlineLevel="0" collapsed="false">
      <c r="A469" s="148"/>
      <c r="B469" s="165"/>
      <c r="C469" s="42"/>
      <c r="D469" s="166" t="s">
        <v>59</v>
      </c>
      <c r="E469" s="195" t="s">
        <v>58</v>
      </c>
      <c r="F469" s="167" t="n">
        <v>0</v>
      </c>
      <c r="G469" s="133" t="n">
        <f aca="false">$H$4</f>
        <v>103</v>
      </c>
      <c r="H469" s="133" t="n">
        <f aca="false">+G469*F469</f>
        <v>0</v>
      </c>
      <c r="I469" s="186"/>
      <c r="J469" s="170"/>
    </row>
    <row r="470" s="156" customFormat="true" ht="12.75" hidden="false" customHeight="false" outlineLevel="0" collapsed="false">
      <c r="A470" s="148"/>
      <c r="B470" s="165"/>
      <c r="C470" s="42"/>
      <c r="D470" s="166" t="s">
        <v>60</v>
      </c>
      <c r="E470" s="194" t="s">
        <v>86</v>
      </c>
      <c r="F470" s="167" t="n">
        <f aca="false">E464</f>
        <v>94045.75</v>
      </c>
      <c r="G470" s="133" t="n">
        <v>0</v>
      </c>
      <c r="H470" s="133" t="n">
        <f aca="false">+G470*F470</f>
        <v>0</v>
      </c>
      <c r="I470" s="186"/>
      <c r="J470" s="170"/>
    </row>
    <row r="471" s="156" customFormat="true" ht="12.75" hidden="false" customHeight="false" outlineLevel="0" collapsed="false">
      <c r="A471" s="148"/>
      <c r="B471" s="165"/>
      <c r="C471" s="42"/>
      <c r="D471" s="166" t="s">
        <v>62</v>
      </c>
      <c r="E471" s="195" t="s">
        <v>30</v>
      </c>
      <c r="F471" s="161" t="n">
        <f aca="false">+G465+G466+G470</f>
        <v>3.25</v>
      </c>
      <c r="G471" s="137" t="s">
        <v>63</v>
      </c>
      <c r="H471" s="133" t="n">
        <f aca="false">SUM(H465:H470)</f>
        <v>574619.5325</v>
      </c>
      <c r="I471" s="169"/>
      <c r="J471" s="170"/>
    </row>
    <row r="472" s="156" customFormat="true" ht="12.75" hidden="false" customHeight="false" outlineLevel="0" collapsed="false">
      <c r="A472" s="148"/>
      <c r="B472" s="165"/>
      <c r="C472" s="42"/>
      <c r="D472" s="175" t="s">
        <v>64</v>
      </c>
      <c r="E472" s="173" t="s">
        <v>30</v>
      </c>
      <c r="F472" s="167"/>
      <c r="G472" s="188"/>
      <c r="H472" s="133" t="n">
        <f aca="false">H471*8.33%</f>
        <v>47865.80705725</v>
      </c>
      <c r="I472" s="177"/>
      <c r="J472" s="178"/>
    </row>
    <row r="473" s="156" customFormat="true" ht="12.75" hidden="false" customHeight="false" outlineLevel="0" collapsed="false">
      <c r="A473" s="148"/>
      <c r="B473" s="165"/>
      <c r="C473" s="42"/>
      <c r="D473" s="175" t="s">
        <v>65</v>
      </c>
      <c r="E473" s="167"/>
      <c r="F473" s="167"/>
      <c r="G473" s="180"/>
      <c r="H473" s="133" t="n">
        <f aca="false">H471*7%</f>
        <v>40223.367275</v>
      </c>
      <c r="I473" s="181" t="n">
        <v>0</v>
      </c>
      <c r="J473" s="182" t="n">
        <f aca="false">+(H471+H472+H473)*C464</f>
        <v>1325417.4136645</v>
      </c>
    </row>
    <row r="474" s="156" customFormat="true" ht="12.75" hidden="false" customHeight="false" outlineLevel="0" collapsed="false">
      <c r="A474" s="148"/>
      <c r="B474" s="165"/>
      <c r="C474" s="42"/>
      <c r="D474" s="183"/>
      <c r="E474" s="119"/>
      <c r="F474" s="161"/>
      <c r="G474" s="184"/>
      <c r="H474" s="185"/>
      <c r="I474" s="186"/>
      <c r="J474" s="170"/>
    </row>
    <row r="475" s="156" customFormat="true" ht="29.1" hidden="false" customHeight="true" outlineLevel="0" collapsed="false">
      <c r="A475" s="148"/>
      <c r="B475" s="165"/>
      <c r="C475" s="192" t="n">
        <f aca="false">SUM(C145:C470)</f>
        <v>40</v>
      </c>
      <c r="D475" s="183"/>
      <c r="E475" s="119"/>
      <c r="F475" s="161"/>
      <c r="G475" s="184"/>
      <c r="H475" s="185"/>
      <c r="I475" s="186"/>
      <c r="J475" s="170"/>
    </row>
    <row r="476" s="156" customFormat="true" ht="12.75" hidden="false" customHeight="false" outlineLevel="0" collapsed="false">
      <c r="A476" s="148"/>
      <c r="B476" s="165"/>
      <c r="C476" s="42"/>
      <c r="D476" s="183"/>
      <c r="E476" s="119"/>
      <c r="F476" s="161"/>
      <c r="G476" s="184"/>
      <c r="H476" s="185"/>
      <c r="I476" s="186"/>
      <c r="J476" s="170"/>
    </row>
    <row r="477" s="156" customFormat="true" ht="15" hidden="false" customHeight="true" outlineLevel="0" collapsed="false">
      <c r="A477" s="148"/>
      <c r="B477" s="149"/>
      <c r="C477" s="145"/>
      <c r="D477" s="157" t="s">
        <v>103</v>
      </c>
      <c r="E477" s="151"/>
      <c r="F477" s="152"/>
      <c r="G477" s="153"/>
      <c r="H477" s="158"/>
      <c r="I477" s="155"/>
      <c r="J477" s="155"/>
    </row>
    <row r="478" s="156" customFormat="true" ht="15" hidden="false" customHeight="true" outlineLevel="0" collapsed="false">
      <c r="A478" s="148"/>
      <c r="B478" s="149"/>
      <c r="C478" s="145" t="n">
        <v>2</v>
      </c>
      <c r="D478" s="159" t="s">
        <v>104</v>
      </c>
      <c r="E478" s="187" t="n">
        <v>171110.03</v>
      </c>
      <c r="F478" s="161"/>
      <c r="G478" s="190"/>
      <c r="H478" s="162"/>
      <c r="I478" s="191"/>
      <c r="J478" s="164"/>
    </row>
    <row r="479" s="156" customFormat="true" ht="12.75" hidden="false" customHeight="false" outlineLevel="0" collapsed="false">
      <c r="A479" s="148"/>
      <c r="B479" s="165"/>
      <c r="C479" s="42"/>
      <c r="D479" s="166" t="s">
        <v>54</v>
      </c>
      <c r="E479" s="193" t="s">
        <v>85</v>
      </c>
      <c r="F479" s="167" t="n">
        <f aca="false">E478</f>
        <v>171110.03</v>
      </c>
      <c r="G479" s="168" t="n">
        <v>0</v>
      </c>
      <c r="H479" s="133" t="n">
        <f aca="false">+G479*F479</f>
        <v>0</v>
      </c>
      <c r="I479" s="186"/>
      <c r="J479" s="170"/>
    </row>
    <row r="480" s="156" customFormat="true" ht="12.75" hidden="false" customHeight="false" outlineLevel="0" collapsed="false">
      <c r="A480" s="148"/>
      <c r="B480" s="165"/>
      <c r="C480" s="42"/>
      <c r="D480" s="166" t="s">
        <v>4</v>
      </c>
      <c r="E480" s="194" t="s">
        <v>85</v>
      </c>
      <c r="F480" s="167" t="n">
        <f aca="false">F479</f>
        <v>171110.03</v>
      </c>
      <c r="G480" s="168" t="n">
        <v>3</v>
      </c>
      <c r="H480" s="133" t="n">
        <f aca="false">+G480*F480</f>
        <v>513330.09</v>
      </c>
      <c r="I480" s="186"/>
      <c r="J480" s="170"/>
    </row>
    <row r="481" s="156" customFormat="true" ht="12.75" hidden="false" customHeight="false" outlineLevel="0" collapsed="false">
      <c r="A481" s="148"/>
      <c r="B481" s="165"/>
      <c r="C481" s="42"/>
      <c r="D481" s="166" t="s">
        <v>56</v>
      </c>
      <c r="E481" s="172" t="n">
        <f aca="false">22*3</f>
        <v>66</v>
      </c>
      <c r="F481" s="167" t="n">
        <f aca="false">(F480/150)*2</f>
        <v>2281.46706666667</v>
      </c>
      <c r="G481" s="168" t="n">
        <f aca="false">+F485</f>
        <v>5</v>
      </c>
      <c r="H481" s="133" t="n">
        <f aca="false">+G481*F481*E481</f>
        <v>752884.132</v>
      </c>
      <c r="I481" s="186"/>
      <c r="J481" s="170"/>
    </row>
    <row r="482" s="156" customFormat="true" ht="12.75" hidden="false" customHeight="false" outlineLevel="0" collapsed="false">
      <c r="A482" s="148"/>
      <c r="B482" s="165"/>
      <c r="C482" s="42"/>
      <c r="D482" s="166" t="s">
        <v>57</v>
      </c>
      <c r="E482" s="195" t="s">
        <v>58</v>
      </c>
      <c r="F482" s="167" t="n">
        <v>0</v>
      </c>
      <c r="G482" s="133" t="n">
        <f aca="false">$H$3</f>
        <v>66</v>
      </c>
      <c r="H482" s="133" t="n">
        <f aca="false">+G482*F482</f>
        <v>0</v>
      </c>
      <c r="I482" s="186"/>
      <c r="J482" s="170"/>
    </row>
    <row r="483" s="156" customFormat="true" ht="12.75" hidden="false" customHeight="false" outlineLevel="0" collapsed="false">
      <c r="A483" s="148"/>
      <c r="B483" s="165"/>
      <c r="C483" s="42"/>
      <c r="D483" s="166" t="s">
        <v>59</v>
      </c>
      <c r="E483" s="195" t="s">
        <v>58</v>
      </c>
      <c r="F483" s="167" t="n">
        <v>0</v>
      </c>
      <c r="G483" s="133" t="n">
        <f aca="false">$H$4</f>
        <v>103</v>
      </c>
      <c r="H483" s="133" t="n">
        <f aca="false">+G483*F483</f>
        <v>0</v>
      </c>
      <c r="I483" s="186"/>
      <c r="J483" s="170"/>
    </row>
    <row r="484" s="156" customFormat="true" ht="12.75" hidden="false" customHeight="false" outlineLevel="0" collapsed="false">
      <c r="A484" s="148"/>
      <c r="B484" s="165"/>
      <c r="C484" s="42"/>
      <c r="D484" s="166" t="s">
        <v>60</v>
      </c>
      <c r="E484" s="194" t="s">
        <v>86</v>
      </c>
      <c r="F484" s="167" t="n">
        <v>43881.81</v>
      </c>
      <c r="G484" s="168" t="n">
        <v>2</v>
      </c>
      <c r="H484" s="133" t="n">
        <f aca="false">+G484*F484</f>
        <v>87763.62</v>
      </c>
      <c r="I484" s="186"/>
      <c r="J484" s="170"/>
    </row>
    <row r="485" s="156" customFormat="true" ht="12.75" hidden="false" customHeight="false" outlineLevel="0" collapsed="false">
      <c r="A485" s="148"/>
      <c r="B485" s="165"/>
      <c r="C485" s="42"/>
      <c r="D485" s="166" t="s">
        <v>62</v>
      </c>
      <c r="E485" s="195" t="s">
        <v>30</v>
      </c>
      <c r="F485" s="161" t="n">
        <f aca="false">+G479+G480+G484</f>
        <v>5</v>
      </c>
      <c r="G485" s="137" t="s">
        <v>63</v>
      </c>
      <c r="H485" s="133" t="n">
        <f aca="false">SUM(H479:H484)</f>
        <v>1353977.842</v>
      </c>
      <c r="I485" s="169"/>
      <c r="J485" s="170"/>
    </row>
    <row r="486" s="156" customFormat="true" ht="12.75" hidden="false" customHeight="false" outlineLevel="0" collapsed="false">
      <c r="A486" s="148"/>
      <c r="B486" s="165"/>
      <c r="C486" s="42"/>
      <c r="D486" s="175" t="s">
        <v>64</v>
      </c>
      <c r="E486" s="173" t="s">
        <v>30</v>
      </c>
      <c r="F486" s="167"/>
      <c r="G486" s="188"/>
      <c r="H486" s="133" t="n">
        <f aca="false">H485*8.33%</f>
        <v>112786.3542386</v>
      </c>
      <c r="I486" s="177"/>
      <c r="J486" s="178"/>
    </row>
    <row r="487" s="156" customFormat="true" ht="12.75" hidden="false" customHeight="false" outlineLevel="0" collapsed="false">
      <c r="A487" s="148"/>
      <c r="B487" s="165"/>
      <c r="C487" s="42"/>
      <c r="D487" s="175" t="s">
        <v>65</v>
      </c>
      <c r="E487" s="167"/>
      <c r="F487" s="167"/>
      <c r="G487" s="180"/>
      <c r="H487" s="133" t="n">
        <f aca="false">H485*7%</f>
        <v>94778.44894</v>
      </c>
      <c r="I487" s="181" t="n">
        <v>0</v>
      </c>
      <c r="J487" s="182" t="n">
        <f aca="false">+(H485+H486+H487)*C478</f>
        <v>3123085.2903572</v>
      </c>
    </row>
    <row r="488" s="156" customFormat="true" ht="12.75" hidden="false" customHeight="false" outlineLevel="0" collapsed="false">
      <c r="A488" s="148"/>
      <c r="B488" s="165"/>
      <c r="C488" s="42"/>
      <c r="D488" s="183"/>
      <c r="E488" s="119"/>
      <c r="F488" s="161"/>
      <c r="G488" s="184"/>
      <c r="H488" s="185"/>
      <c r="I488" s="186"/>
      <c r="J488" s="170"/>
    </row>
    <row r="489" s="156" customFormat="true" ht="15" hidden="false" customHeight="true" outlineLevel="0" collapsed="false">
      <c r="A489" s="148"/>
      <c r="B489" s="149"/>
      <c r="C489" s="145" t="n">
        <v>2</v>
      </c>
      <c r="D489" s="159" t="s">
        <v>105</v>
      </c>
      <c r="E489" s="187" t="n">
        <v>101647.54</v>
      </c>
      <c r="F489" s="161"/>
      <c r="G489" s="190"/>
      <c r="H489" s="162"/>
      <c r="I489" s="191"/>
      <c r="J489" s="164"/>
    </row>
    <row r="490" s="156" customFormat="true" ht="12.75" hidden="false" customHeight="false" outlineLevel="0" collapsed="false">
      <c r="A490" s="148"/>
      <c r="B490" s="165"/>
      <c r="C490" s="42"/>
      <c r="D490" s="166" t="s">
        <v>54</v>
      </c>
      <c r="E490" s="193" t="s">
        <v>85</v>
      </c>
      <c r="F490" s="167" t="n">
        <f aca="false">E489</f>
        <v>101647.54</v>
      </c>
      <c r="G490" s="168" t="n">
        <v>0</v>
      </c>
      <c r="H490" s="133" t="n">
        <f aca="false">+G490*F490</f>
        <v>0</v>
      </c>
      <c r="I490" s="186"/>
      <c r="J490" s="170"/>
    </row>
    <row r="491" s="156" customFormat="true" ht="12.75" hidden="false" customHeight="false" outlineLevel="0" collapsed="false">
      <c r="A491" s="148"/>
      <c r="B491" s="165"/>
      <c r="C491" s="42"/>
      <c r="D491" s="166" t="s">
        <v>4</v>
      </c>
      <c r="E491" s="194" t="s">
        <v>85</v>
      </c>
      <c r="F491" s="167" t="n">
        <f aca="false">F490</f>
        <v>101647.54</v>
      </c>
      <c r="G491" s="168" t="n">
        <v>3</v>
      </c>
      <c r="H491" s="133" t="n">
        <f aca="false">+G491*F491</f>
        <v>304942.62</v>
      </c>
      <c r="I491" s="186"/>
      <c r="J491" s="170"/>
    </row>
    <row r="492" s="156" customFormat="true" ht="12.75" hidden="false" customHeight="false" outlineLevel="0" collapsed="false">
      <c r="A492" s="148"/>
      <c r="B492" s="165"/>
      <c r="C492" s="42"/>
      <c r="D492" s="166" t="s">
        <v>56</v>
      </c>
      <c r="E492" s="172" t="n">
        <f aca="false">22*3</f>
        <v>66</v>
      </c>
      <c r="F492" s="167" t="n">
        <f aca="false">(F491/150)*2</f>
        <v>1355.30053333333</v>
      </c>
      <c r="G492" s="168" t="n">
        <f aca="false">+F496</f>
        <v>5</v>
      </c>
      <c r="H492" s="133" t="n">
        <f aca="false">+G492*F492*E492</f>
        <v>447249.176</v>
      </c>
      <c r="I492" s="186"/>
      <c r="J492" s="170"/>
    </row>
    <row r="493" s="156" customFormat="true" ht="12.75" hidden="false" customHeight="false" outlineLevel="0" collapsed="false">
      <c r="A493" s="148"/>
      <c r="B493" s="165"/>
      <c r="C493" s="42"/>
      <c r="D493" s="166" t="s">
        <v>57</v>
      </c>
      <c r="E493" s="195" t="s">
        <v>58</v>
      </c>
      <c r="F493" s="167" t="n">
        <v>0</v>
      </c>
      <c r="G493" s="133" t="n">
        <f aca="false">$H$3</f>
        <v>66</v>
      </c>
      <c r="H493" s="133" t="n">
        <f aca="false">+G493*F493</f>
        <v>0</v>
      </c>
      <c r="I493" s="186"/>
      <c r="J493" s="170"/>
    </row>
    <row r="494" s="156" customFormat="true" ht="12.75" hidden="false" customHeight="false" outlineLevel="0" collapsed="false">
      <c r="A494" s="148"/>
      <c r="B494" s="165"/>
      <c r="C494" s="42"/>
      <c r="D494" s="166" t="s">
        <v>59</v>
      </c>
      <c r="E494" s="195" t="s">
        <v>58</v>
      </c>
      <c r="F494" s="167" t="n">
        <v>0</v>
      </c>
      <c r="G494" s="133" t="n">
        <f aca="false">$H$4</f>
        <v>103</v>
      </c>
      <c r="H494" s="133" t="n">
        <f aca="false">+G494*F494</f>
        <v>0</v>
      </c>
      <c r="I494" s="186"/>
      <c r="J494" s="170"/>
    </row>
    <row r="495" s="156" customFormat="true" ht="12.75" hidden="false" customHeight="false" outlineLevel="0" collapsed="false">
      <c r="A495" s="148"/>
      <c r="B495" s="165"/>
      <c r="C495" s="42"/>
      <c r="D495" s="166" t="s">
        <v>60</v>
      </c>
      <c r="E495" s="194" t="s">
        <v>86</v>
      </c>
      <c r="F495" s="167" t="n">
        <v>31896.03</v>
      </c>
      <c r="G495" s="168" t="n">
        <v>2</v>
      </c>
      <c r="H495" s="133" t="n">
        <f aca="false">+G495*F495</f>
        <v>63792.06</v>
      </c>
      <c r="I495" s="186"/>
      <c r="J495" s="170"/>
    </row>
    <row r="496" s="156" customFormat="true" ht="12.75" hidden="false" customHeight="false" outlineLevel="0" collapsed="false">
      <c r="A496" s="148"/>
      <c r="B496" s="165"/>
      <c r="C496" s="42"/>
      <c r="D496" s="166" t="s">
        <v>62</v>
      </c>
      <c r="E496" s="195" t="s">
        <v>30</v>
      </c>
      <c r="F496" s="161" t="n">
        <f aca="false">+G490+G491+G495</f>
        <v>5</v>
      </c>
      <c r="G496" s="137" t="s">
        <v>63</v>
      </c>
      <c r="H496" s="133" t="n">
        <f aca="false">SUM(H490:H495)</f>
        <v>815983.856</v>
      </c>
      <c r="I496" s="169"/>
      <c r="J496" s="170"/>
    </row>
    <row r="497" s="156" customFormat="true" ht="12.75" hidden="false" customHeight="false" outlineLevel="0" collapsed="false">
      <c r="A497" s="148"/>
      <c r="B497" s="165"/>
      <c r="C497" s="42"/>
      <c r="D497" s="175" t="s">
        <v>64</v>
      </c>
      <c r="E497" s="173" t="s">
        <v>30</v>
      </c>
      <c r="F497" s="167"/>
      <c r="G497" s="188"/>
      <c r="H497" s="133" t="n">
        <f aca="false">H496*8.33%</f>
        <v>67971.4552048</v>
      </c>
      <c r="I497" s="177"/>
      <c r="J497" s="178"/>
    </row>
    <row r="498" s="156" customFormat="true" ht="12.75" hidden="false" customHeight="false" outlineLevel="0" collapsed="false">
      <c r="A498" s="148"/>
      <c r="B498" s="165"/>
      <c r="C498" s="42"/>
      <c r="D498" s="175" t="s">
        <v>65</v>
      </c>
      <c r="E498" s="167"/>
      <c r="F498" s="167"/>
      <c r="G498" s="180"/>
      <c r="H498" s="133" t="n">
        <f aca="false">H496*7%</f>
        <v>57118.86992</v>
      </c>
      <c r="I498" s="181" t="n">
        <v>0</v>
      </c>
      <c r="J498" s="182" t="n">
        <f aca="false">+(H496+H497+H498)*C489</f>
        <v>1882148.3622496</v>
      </c>
    </row>
    <row r="499" s="156" customFormat="true" ht="12.75" hidden="false" customHeight="false" outlineLevel="0" collapsed="false">
      <c r="A499" s="148"/>
      <c r="B499" s="165"/>
      <c r="C499" s="42"/>
      <c r="D499" s="183"/>
      <c r="E499" s="119"/>
      <c r="F499" s="161"/>
      <c r="G499" s="184"/>
      <c r="H499" s="185"/>
      <c r="I499" s="186"/>
      <c r="J499" s="170"/>
    </row>
    <row r="500" s="156" customFormat="true" ht="15" hidden="false" customHeight="true" outlineLevel="0" collapsed="false">
      <c r="A500" s="148"/>
      <c r="B500" s="149"/>
      <c r="C500" s="145" t="n">
        <v>1</v>
      </c>
      <c r="D500" s="159" t="s">
        <v>106</v>
      </c>
      <c r="E500" s="187" t="n">
        <v>129385.85</v>
      </c>
      <c r="F500" s="161"/>
      <c r="G500" s="190"/>
      <c r="H500" s="162"/>
      <c r="I500" s="191"/>
      <c r="J500" s="164"/>
    </row>
    <row r="501" s="156" customFormat="true" ht="12.75" hidden="false" customHeight="false" outlineLevel="0" collapsed="false">
      <c r="A501" s="148"/>
      <c r="B501" s="165"/>
      <c r="C501" s="42"/>
      <c r="D501" s="166" t="s">
        <v>54</v>
      </c>
      <c r="E501" s="193" t="s">
        <v>85</v>
      </c>
      <c r="F501" s="167" t="n">
        <f aca="false">E500</f>
        <v>129385.85</v>
      </c>
      <c r="G501" s="168" t="n">
        <v>0.5</v>
      </c>
      <c r="H501" s="133" t="n">
        <f aca="false">+G501*F501</f>
        <v>64692.925</v>
      </c>
      <c r="I501" s="186"/>
      <c r="J501" s="170"/>
    </row>
    <row r="502" s="156" customFormat="true" ht="12.75" hidden="false" customHeight="false" outlineLevel="0" collapsed="false">
      <c r="A502" s="148"/>
      <c r="B502" s="165"/>
      <c r="C502" s="42"/>
      <c r="D502" s="166" t="s">
        <v>4</v>
      </c>
      <c r="E502" s="194" t="s">
        <v>85</v>
      </c>
      <c r="F502" s="167" t="n">
        <f aca="false">F501</f>
        <v>129385.85</v>
      </c>
      <c r="G502" s="168" t="n">
        <v>3</v>
      </c>
      <c r="H502" s="133" t="n">
        <f aca="false">+G502*F502</f>
        <v>388157.55</v>
      </c>
      <c r="I502" s="186"/>
      <c r="J502" s="170"/>
    </row>
    <row r="503" s="156" customFormat="true" ht="12.75" hidden="false" customHeight="false" outlineLevel="0" collapsed="false">
      <c r="A503" s="148"/>
      <c r="B503" s="165"/>
      <c r="C503" s="42"/>
      <c r="D503" s="166" t="s">
        <v>56</v>
      </c>
      <c r="E503" s="172" t="n">
        <f aca="false">22*3</f>
        <v>66</v>
      </c>
      <c r="F503" s="167" t="n">
        <f aca="false">(F502/150)*2</f>
        <v>1725.14466666667</v>
      </c>
      <c r="G503" s="168" t="n">
        <f aca="false">+F507</f>
        <v>5.5</v>
      </c>
      <c r="H503" s="133" t="n">
        <f aca="false">+G503*F503*E503</f>
        <v>626227.514</v>
      </c>
      <c r="I503" s="186"/>
      <c r="J503" s="170"/>
    </row>
    <row r="504" s="156" customFormat="true" ht="12.75" hidden="false" customHeight="false" outlineLevel="0" collapsed="false">
      <c r="A504" s="148"/>
      <c r="B504" s="165"/>
      <c r="C504" s="42"/>
      <c r="D504" s="166" t="s">
        <v>57</v>
      </c>
      <c r="E504" s="195" t="s">
        <v>58</v>
      </c>
      <c r="F504" s="167" t="n">
        <v>0</v>
      </c>
      <c r="G504" s="133" t="n">
        <f aca="false">$H$3</f>
        <v>66</v>
      </c>
      <c r="H504" s="133" t="n">
        <f aca="false">+G504*F504</f>
        <v>0</v>
      </c>
      <c r="I504" s="186"/>
      <c r="J504" s="170"/>
    </row>
    <row r="505" s="156" customFormat="true" ht="12.75" hidden="false" customHeight="false" outlineLevel="0" collapsed="false">
      <c r="A505" s="148"/>
      <c r="B505" s="165"/>
      <c r="C505" s="42"/>
      <c r="D505" s="166" t="s">
        <v>59</v>
      </c>
      <c r="E505" s="195" t="s">
        <v>58</v>
      </c>
      <c r="F505" s="167" t="n">
        <v>0</v>
      </c>
      <c r="G505" s="133" t="n">
        <f aca="false">$H$4</f>
        <v>103</v>
      </c>
      <c r="H505" s="133" t="n">
        <f aca="false">+G505*F505</f>
        <v>0</v>
      </c>
      <c r="I505" s="186"/>
      <c r="J505" s="170"/>
    </row>
    <row r="506" s="156" customFormat="true" ht="12.75" hidden="false" customHeight="false" outlineLevel="0" collapsed="false">
      <c r="A506" s="148"/>
      <c r="B506" s="165"/>
      <c r="C506" s="42"/>
      <c r="D506" s="166" t="s">
        <v>60</v>
      </c>
      <c r="E506" s="194" t="s">
        <v>86</v>
      </c>
      <c r="F506" s="167" t="n">
        <v>31896.03</v>
      </c>
      <c r="G506" s="168" t="n">
        <v>2</v>
      </c>
      <c r="H506" s="133" t="n">
        <f aca="false">+G506*F506</f>
        <v>63792.06</v>
      </c>
      <c r="I506" s="186"/>
      <c r="J506" s="170"/>
    </row>
    <row r="507" s="156" customFormat="true" ht="12.75" hidden="false" customHeight="false" outlineLevel="0" collapsed="false">
      <c r="A507" s="148"/>
      <c r="B507" s="165"/>
      <c r="C507" s="42"/>
      <c r="D507" s="166" t="s">
        <v>62</v>
      </c>
      <c r="E507" s="195" t="s">
        <v>30</v>
      </c>
      <c r="F507" s="161" t="n">
        <f aca="false">+G501+G502+G506</f>
        <v>5.5</v>
      </c>
      <c r="G507" s="137" t="s">
        <v>63</v>
      </c>
      <c r="H507" s="133" t="n">
        <f aca="false">SUM(H501:H506)</f>
        <v>1142870.049</v>
      </c>
      <c r="I507" s="169"/>
      <c r="J507" s="170"/>
    </row>
    <row r="508" s="156" customFormat="true" ht="12.75" hidden="false" customHeight="false" outlineLevel="0" collapsed="false">
      <c r="A508" s="148"/>
      <c r="B508" s="165"/>
      <c r="C508" s="42"/>
      <c r="D508" s="175" t="s">
        <v>64</v>
      </c>
      <c r="E508" s="173" t="s">
        <v>30</v>
      </c>
      <c r="F508" s="167"/>
      <c r="G508" s="188"/>
      <c r="H508" s="133" t="n">
        <f aca="false">H507*8.33%</f>
        <v>95201.0750817</v>
      </c>
      <c r="I508" s="177"/>
      <c r="J508" s="178"/>
    </row>
    <row r="509" s="156" customFormat="true" ht="12.75" hidden="false" customHeight="false" outlineLevel="0" collapsed="false">
      <c r="A509" s="148"/>
      <c r="B509" s="165"/>
      <c r="C509" s="42"/>
      <c r="D509" s="175" t="s">
        <v>65</v>
      </c>
      <c r="E509" s="167"/>
      <c r="F509" s="167"/>
      <c r="G509" s="180"/>
      <c r="H509" s="133" t="n">
        <f aca="false">H507*7%</f>
        <v>80000.90343</v>
      </c>
      <c r="I509" s="181" t="n">
        <v>0</v>
      </c>
      <c r="J509" s="182" t="n">
        <f aca="false">+(H507+H508+H509)*C500</f>
        <v>1318072.0275117</v>
      </c>
    </row>
    <row r="510" s="156" customFormat="true" ht="18.75" hidden="false" customHeight="true" outlineLevel="0" collapsed="false">
      <c r="A510" s="148"/>
      <c r="B510" s="165"/>
      <c r="C510" s="192" t="n">
        <f aca="false">SUM(C477:C509)</f>
        <v>5</v>
      </c>
      <c r="D510" s="183"/>
      <c r="E510" s="119"/>
      <c r="F510" s="161"/>
      <c r="G510" s="184"/>
      <c r="H510" s="185"/>
      <c r="I510" s="186"/>
      <c r="J510" s="170"/>
    </row>
    <row r="511" s="94" customFormat="true" ht="15" hidden="false" customHeight="true" outlineLevel="0" collapsed="false">
      <c r="A511" s="85"/>
      <c r="B511" s="86"/>
      <c r="C511" s="196"/>
      <c r="D511" s="141"/>
      <c r="E511" s="142"/>
      <c r="F511" s="101"/>
      <c r="G511" s="101"/>
      <c r="H511" s="158"/>
      <c r="I511" s="155"/>
      <c r="J511" s="155"/>
    </row>
    <row r="512" s="156" customFormat="true" ht="15" hidden="false" customHeight="true" outlineLevel="0" collapsed="false">
      <c r="A512" s="148"/>
      <c r="B512" s="149"/>
      <c r="C512" s="145"/>
      <c r="D512" s="157" t="s">
        <v>107</v>
      </c>
      <c r="E512" s="151"/>
      <c r="F512" s="152"/>
      <c r="G512" s="153"/>
      <c r="H512" s="158"/>
      <c r="I512" s="155"/>
      <c r="J512" s="155"/>
    </row>
    <row r="513" s="156" customFormat="true" ht="15" hidden="false" customHeight="true" outlineLevel="0" collapsed="false">
      <c r="A513" s="148"/>
      <c r="B513" s="149"/>
      <c r="C513" s="145" t="n">
        <v>1</v>
      </c>
      <c r="D513" s="159" t="s">
        <v>108</v>
      </c>
      <c r="E513" s="187" t="n">
        <v>110189.04</v>
      </c>
      <c r="F513" s="161"/>
      <c r="G513" s="190"/>
      <c r="H513" s="162"/>
      <c r="I513" s="191"/>
      <c r="J513" s="164"/>
    </row>
    <row r="514" s="156" customFormat="true" ht="12.75" hidden="false" customHeight="false" outlineLevel="0" collapsed="false">
      <c r="A514" s="148"/>
      <c r="B514" s="165"/>
      <c r="C514" s="42"/>
      <c r="D514" s="166" t="s">
        <v>54</v>
      </c>
      <c r="E514" s="193" t="s">
        <v>85</v>
      </c>
      <c r="F514" s="167" t="n">
        <f aca="false">E513</f>
        <v>110189.04</v>
      </c>
      <c r="G514" s="168" t="n">
        <v>2.5</v>
      </c>
      <c r="H514" s="133" t="n">
        <f aca="false">+G514*F514</f>
        <v>275472.6</v>
      </c>
      <c r="I514" s="186"/>
      <c r="J514" s="170"/>
    </row>
    <row r="515" s="156" customFormat="true" ht="12.75" hidden="false" customHeight="false" outlineLevel="0" collapsed="false">
      <c r="A515" s="148"/>
      <c r="B515" s="165"/>
      <c r="C515" s="42"/>
      <c r="D515" s="166" t="s">
        <v>4</v>
      </c>
      <c r="E515" s="194" t="s">
        <v>85</v>
      </c>
      <c r="F515" s="167" t="n">
        <f aca="false">F514</f>
        <v>110189.04</v>
      </c>
      <c r="G515" s="168" t="n">
        <v>3</v>
      </c>
      <c r="H515" s="133" t="n">
        <f aca="false">+G515*F515</f>
        <v>330567.12</v>
      </c>
      <c r="I515" s="186"/>
      <c r="J515" s="170"/>
    </row>
    <row r="516" s="156" customFormat="true" ht="12.75" hidden="false" customHeight="false" outlineLevel="0" collapsed="false">
      <c r="A516" s="148"/>
      <c r="B516" s="165"/>
      <c r="C516" s="42"/>
      <c r="D516" s="166" t="s">
        <v>56</v>
      </c>
      <c r="E516" s="172"/>
      <c r="F516" s="167" t="n">
        <f aca="false">(F515/150)*2</f>
        <v>1469.1872</v>
      </c>
      <c r="G516" s="168" t="n">
        <f aca="false">+F520</f>
        <v>7.5</v>
      </c>
      <c r="H516" s="133" t="n">
        <f aca="false">+G516*F516*E516</f>
        <v>0</v>
      </c>
      <c r="I516" s="186"/>
      <c r="J516" s="170"/>
    </row>
    <row r="517" s="156" customFormat="true" ht="12.75" hidden="false" customHeight="false" outlineLevel="0" collapsed="false">
      <c r="A517" s="148"/>
      <c r="B517" s="165"/>
      <c r="C517" s="42"/>
      <c r="D517" s="166" t="s">
        <v>57</v>
      </c>
      <c r="E517" s="195" t="s">
        <v>58</v>
      </c>
      <c r="F517" s="167" t="n">
        <v>0</v>
      </c>
      <c r="G517" s="133" t="n">
        <f aca="false">$H$3</f>
        <v>66</v>
      </c>
      <c r="H517" s="133" t="n">
        <f aca="false">+G517*F517</f>
        <v>0</v>
      </c>
      <c r="I517" s="186"/>
      <c r="J517" s="170"/>
    </row>
    <row r="518" s="156" customFormat="true" ht="12.75" hidden="false" customHeight="false" outlineLevel="0" collapsed="false">
      <c r="A518" s="148"/>
      <c r="B518" s="165"/>
      <c r="C518" s="42"/>
      <c r="D518" s="166" t="s">
        <v>59</v>
      </c>
      <c r="E518" s="195" t="s">
        <v>58</v>
      </c>
      <c r="F518" s="167" t="n">
        <v>0</v>
      </c>
      <c r="G518" s="133" t="n">
        <f aca="false">$H$4</f>
        <v>103</v>
      </c>
      <c r="H518" s="133" t="n">
        <f aca="false">+G518*F518</f>
        <v>0</v>
      </c>
      <c r="I518" s="186"/>
      <c r="J518" s="170"/>
    </row>
    <row r="519" s="156" customFormat="true" ht="12.75" hidden="false" customHeight="false" outlineLevel="0" collapsed="false">
      <c r="A519" s="148"/>
      <c r="B519" s="165"/>
      <c r="C519" s="42"/>
      <c r="D519" s="166" t="s">
        <v>60</v>
      </c>
      <c r="E519" s="194" t="s">
        <v>86</v>
      </c>
      <c r="F519" s="167" t="n">
        <v>37371.11</v>
      </c>
      <c r="G519" s="168" t="n">
        <v>2</v>
      </c>
      <c r="H519" s="133" t="n">
        <f aca="false">+G519*F519</f>
        <v>74742.22</v>
      </c>
      <c r="I519" s="186"/>
      <c r="J519" s="170"/>
    </row>
    <row r="520" s="156" customFormat="true" ht="12.75" hidden="false" customHeight="false" outlineLevel="0" collapsed="false">
      <c r="A520" s="148"/>
      <c r="B520" s="165"/>
      <c r="C520" s="42"/>
      <c r="D520" s="166" t="s">
        <v>62</v>
      </c>
      <c r="E520" s="195" t="s">
        <v>30</v>
      </c>
      <c r="F520" s="161" t="n">
        <f aca="false">+G514+G515+G519</f>
        <v>7.5</v>
      </c>
      <c r="G520" s="137" t="s">
        <v>63</v>
      </c>
      <c r="H520" s="133" t="n">
        <f aca="false">SUM(H514:H519)</f>
        <v>680781.94</v>
      </c>
      <c r="I520" s="169"/>
      <c r="J520" s="170"/>
    </row>
    <row r="521" s="156" customFormat="true" ht="12.75" hidden="false" customHeight="false" outlineLevel="0" collapsed="false">
      <c r="A521" s="148"/>
      <c r="B521" s="165"/>
      <c r="C521" s="42"/>
      <c r="D521" s="175" t="s">
        <v>64</v>
      </c>
      <c r="E521" s="173" t="s">
        <v>30</v>
      </c>
      <c r="F521" s="167"/>
      <c r="G521" s="188"/>
      <c r="H521" s="133" t="n">
        <f aca="false">H520*8.33%</f>
        <v>56709.135602</v>
      </c>
      <c r="I521" s="177"/>
      <c r="J521" s="178"/>
    </row>
    <row r="522" s="156" customFormat="true" ht="12.75" hidden="false" customHeight="false" outlineLevel="0" collapsed="false">
      <c r="A522" s="148"/>
      <c r="B522" s="165"/>
      <c r="C522" s="42"/>
      <c r="D522" s="175" t="s">
        <v>65</v>
      </c>
      <c r="E522" s="167"/>
      <c r="F522" s="167"/>
      <c r="G522" s="180"/>
      <c r="H522" s="133" t="n">
        <f aca="false">H520*7%</f>
        <v>47654.7358</v>
      </c>
      <c r="I522" s="181" t="n">
        <v>0</v>
      </c>
      <c r="J522" s="182" t="n">
        <f aca="false">+(H520+H521+H522)*C513</f>
        <v>785145.811402</v>
      </c>
    </row>
    <row r="523" s="156" customFormat="true" ht="12.75" hidden="false" customHeight="false" outlineLevel="0" collapsed="false">
      <c r="A523" s="148"/>
      <c r="B523" s="165"/>
      <c r="C523" s="42"/>
      <c r="D523" s="183"/>
      <c r="E523" s="119"/>
      <c r="F523" s="161"/>
      <c r="G523" s="184"/>
      <c r="H523" s="185"/>
      <c r="I523" s="186"/>
      <c r="J523" s="170"/>
    </row>
    <row r="524" s="156" customFormat="true" ht="15" hidden="false" customHeight="true" outlineLevel="0" collapsed="false">
      <c r="A524" s="148"/>
      <c r="B524" s="149"/>
      <c r="C524" s="145" t="n">
        <v>1</v>
      </c>
      <c r="D524" s="159" t="s">
        <v>109</v>
      </c>
      <c r="E524" s="187" t="n">
        <v>94045.75</v>
      </c>
      <c r="F524" s="161"/>
      <c r="G524" s="190"/>
      <c r="H524" s="162"/>
      <c r="I524" s="191"/>
      <c r="J524" s="164"/>
    </row>
    <row r="525" s="156" customFormat="true" ht="12.75" hidden="false" customHeight="false" outlineLevel="0" collapsed="false">
      <c r="A525" s="148"/>
      <c r="B525" s="165"/>
      <c r="C525" s="42"/>
      <c r="D525" s="166" t="s">
        <v>54</v>
      </c>
      <c r="E525" s="193" t="s">
        <v>85</v>
      </c>
      <c r="F525" s="167" t="n">
        <f aca="false">E524</f>
        <v>94045.75</v>
      </c>
      <c r="G525" s="168" t="n">
        <v>1</v>
      </c>
      <c r="H525" s="133" t="n">
        <f aca="false">+G525*F525</f>
        <v>94045.75</v>
      </c>
      <c r="I525" s="186"/>
      <c r="J525" s="170"/>
    </row>
    <row r="526" s="156" customFormat="true" ht="12.75" hidden="false" customHeight="false" outlineLevel="0" collapsed="false">
      <c r="A526" s="148"/>
      <c r="B526" s="165"/>
      <c r="C526" s="42"/>
      <c r="D526" s="166" t="s">
        <v>4</v>
      </c>
      <c r="E526" s="194" t="s">
        <v>85</v>
      </c>
      <c r="F526" s="167" t="n">
        <f aca="false">E524</f>
        <v>94045.75</v>
      </c>
      <c r="G526" s="168" t="n">
        <v>3</v>
      </c>
      <c r="H526" s="133" t="n">
        <f aca="false">+G526*F526</f>
        <v>282137.25</v>
      </c>
      <c r="I526" s="186"/>
      <c r="J526" s="170"/>
    </row>
    <row r="527" s="156" customFormat="true" ht="12.75" hidden="false" customHeight="false" outlineLevel="0" collapsed="false">
      <c r="A527" s="148"/>
      <c r="B527" s="165"/>
      <c r="C527" s="42"/>
      <c r="D527" s="166" t="s">
        <v>56</v>
      </c>
      <c r="E527" s="172" t="n">
        <v>0</v>
      </c>
      <c r="F527" s="167" t="n">
        <f aca="false">(F526/150)*2</f>
        <v>1253.94333333333</v>
      </c>
      <c r="G527" s="168" t="n">
        <f aca="false">+F531</f>
        <v>6</v>
      </c>
      <c r="H527" s="133" t="n">
        <f aca="false">+G527*F527*E527</f>
        <v>0</v>
      </c>
      <c r="I527" s="186"/>
      <c r="J527" s="170"/>
    </row>
    <row r="528" s="156" customFormat="true" ht="12.75" hidden="false" customHeight="false" outlineLevel="0" collapsed="false">
      <c r="A528" s="148"/>
      <c r="B528" s="165"/>
      <c r="C528" s="42"/>
      <c r="D528" s="166" t="s">
        <v>57</v>
      </c>
      <c r="E528" s="195" t="s">
        <v>58</v>
      </c>
      <c r="F528" s="167" t="n">
        <v>0</v>
      </c>
      <c r="G528" s="133" t="n">
        <f aca="false">$H$3</f>
        <v>66</v>
      </c>
      <c r="H528" s="133" t="n">
        <f aca="false">+G528*F528</f>
        <v>0</v>
      </c>
      <c r="I528" s="186"/>
      <c r="J528" s="170"/>
    </row>
    <row r="529" s="156" customFormat="true" ht="12.75" hidden="false" customHeight="false" outlineLevel="0" collapsed="false">
      <c r="A529" s="148"/>
      <c r="B529" s="165"/>
      <c r="C529" s="42"/>
      <c r="D529" s="166" t="s">
        <v>59</v>
      </c>
      <c r="E529" s="195" t="s">
        <v>58</v>
      </c>
      <c r="F529" s="167" t="n">
        <v>0</v>
      </c>
      <c r="G529" s="133" t="n">
        <f aca="false">$H$4</f>
        <v>103</v>
      </c>
      <c r="H529" s="133" t="n">
        <f aca="false">+G529*F529</f>
        <v>0</v>
      </c>
      <c r="I529" s="186"/>
      <c r="J529" s="170"/>
    </row>
    <row r="530" s="156" customFormat="true" ht="12.75" hidden="false" customHeight="false" outlineLevel="0" collapsed="false">
      <c r="A530" s="148"/>
      <c r="B530" s="165"/>
      <c r="C530" s="42"/>
      <c r="D530" s="166" t="s">
        <v>60</v>
      </c>
      <c r="E530" s="194" t="s">
        <v>86</v>
      </c>
      <c r="F530" s="167" t="n">
        <f aca="false">E524</f>
        <v>94045.75</v>
      </c>
      <c r="G530" s="168" t="n">
        <v>2</v>
      </c>
      <c r="H530" s="133" t="n">
        <f aca="false">+G530*F530</f>
        <v>188091.5</v>
      </c>
      <c r="I530" s="186"/>
      <c r="J530" s="170"/>
    </row>
    <row r="531" s="156" customFormat="true" ht="12.75" hidden="false" customHeight="false" outlineLevel="0" collapsed="false">
      <c r="A531" s="148"/>
      <c r="B531" s="165"/>
      <c r="C531" s="42"/>
      <c r="D531" s="166" t="s">
        <v>62</v>
      </c>
      <c r="E531" s="195" t="s">
        <v>30</v>
      </c>
      <c r="F531" s="161" t="n">
        <f aca="false">+G525+G526+G530</f>
        <v>6</v>
      </c>
      <c r="G531" s="137" t="s">
        <v>63</v>
      </c>
      <c r="H531" s="133" t="n">
        <f aca="false">SUM(H525:H530)</f>
        <v>564274.5</v>
      </c>
      <c r="I531" s="169"/>
      <c r="J531" s="170"/>
    </row>
    <row r="532" s="156" customFormat="true" ht="12.75" hidden="false" customHeight="false" outlineLevel="0" collapsed="false">
      <c r="A532" s="148"/>
      <c r="B532" s="165"/>
      <c r="C532" s="42"/>
      <c r="D532" s="175" t="s">
        <v>64</v>
      </c>
      <c r="E532" s="173" t="s">
        <v>30</v>
      </c>
      <c r="F532" s="167"/>
      <c r="G532" s="188"/>
      <c r="H532" s="133" t="n">
        <f aca="false">H531*8.33%</f>
        <v>47004.06585</v>
      </c>
      <c r="I532" s="177"/>
      <c r="J532" s="178"/>
    </row>
    <row r="533" s="156" customFormat="true" ht="12.75" hidden="false" customHeight="false" outlineLevel="0" collapsed="false">
      <c r="A533" s="148"/>
      <c r="B533" s="165"/>
      <c r="C533" s="42"/>
      <c r="D533" s="175" t="s">
        <v>65</v>
      </c>
      <c r="E533" s="167"/>
      <c r="F533" s="167"/>
      <c r="G533" s="180"/>
      <c r="H533" s="133" t="n">
        <f aca="false">H531*7%</f>
        <v>39499.215</v>
      </c>
      <c r="I533" s="181" t="n">
        <v>0</v>
      </c>
      <c r="J533" s="182" t="n">
        <f aca="false">+(H531+H532+H533)*C524</f>
        <v>650777.78085</v>
      </c>
    </row>
    <row r="534" s="156" customFormat="true" ht="12.75" hidden="false" customHeight="false" outlineLevel="0" collapsed="false">
      <c r="A534" s="148"/>
      <c r="B534" s="165"/>
      <c r="C534" s="42"/>
      <c r="D534" s="183"/>
      <c r="E534" s="119"/>
      <c r="F534" s="161"/>
      <c r="G534" s="184"/>
      <c r="H534" s="185"/>
      <c r="I534" s="186"/>
      <c r="J534" s="170"/>
    </row>
    <row r="535" s="94" customFormat="true" ht="21.95" hidden="false" customHeight="true" outlineLevel="0" collapsed="false">
      <c r="A535" s="85"/>
      <c r="B535" s="86"/>
      <c r="C535" s="192" t="n">
        <f aca="false">SUM(C512:C534)</f>
        <v>2</v>
      </c>
      <c r="D535" s="141"/>
      <c r="E535" s="142"/>
      <c r="F535" s="126" t="s">
        <v>110</v>
      </c>
      <c r="G535" s="126"/>
      <c r="H535" s="197" t="n">
        <f aca="false">SUM(J98:J533)</f>
        <v>62983509.0623459</v>
      </c>
      <c r="I535" s="198" t="n">
        <f aca="false">SUM(I109:I510)</f>
        <v>0</v>
      </c>
      <c r="J535" s="198" t="n">
        <f aca="false">SUM(J96:J534)</f>
        <v>62983509.0623459</v>
      </c>
    </row>
    <row r="536" s="199" customFormat="true" ht="21.95" hidden="false" customHeight="true" outlineLevel="0" collapsed="false">
      <c r="B536" s="200"/>
      <c r="C536" s="201"/>
      <c r="D536" s="202"/>
      <c r="E536" s="203"/>
      <c r="F536" s="204"/>
      <c r="G536" s="204"/>
      <c r="H536" s="205"/>
      <c r="I536" s="205"/>
      <c r="J536" s="205"/>
    </row>
    <row r="537" s="94" customFormat="true" ht="23.1" hidden="false" customHeight="true" outlineLevel="0" collapsed="false">
      <c r="A537" s="85"/>
      <c r="B537" s="86"/>
      <c r="C537" s="192" t="n">
        <f aca="false">SUM(C535+C475+C142+C510)</f>
        <v>52</v>
      </c>
      <c r="D537" s="141"/>
      <c r="E537" s="142"/>
      <c r="F537" s="101"/>
      <c r="G537" s="101"/>
      <c r="H537" s="206"/>
      <c r="I537" s="206"/>
      <c r="J537" s="206"/>
    </row>
    <row r="538" s="156" customFormat="true" ht="15" hidden="false" customHeight="true" outlineLevel="0" collapsed="false">
      <c r="A538" s="148"/>
      <c r="B538" s="149"/>
      <c r="C538" s="145"/>
      <c r="D538" s="207" t="s">
        <v>111</v>
      </c>
      <c r="E538" s="208"/>
      <c r="F538" s="209"/>
      <c r="G538" s="210"/>
      <c r="H538" s="211"/>
      <c r="I538" s="212"/>
      <c r="J538" s="213"/>
      <c r="L538" s="214" t="s">
        <v>112</v>
      </c>
      <c r="M538" s="215" t="n">
        <v>0.45</v>
      </c>
    </row>
    <row r="539" s="156" customFormat="true" ht="12.75" hidden="false" customHeight="false" outlineLevel="0" collapsed="false">
      <c r="A539" s="148"/>
      <c r="B539" s="165"/>
      <c r="C539" s="42"/>
      <c r="D539" s="166" t="s">
        <v>113</v>
      </c>
      <c r="E539" s="194" t="s">
        <v>61</v>
      </c>
      <c r="F539" s="167" t="n">
        <f aca="false">N539</f>
        <v>852.339</v>
      </c>
      <c r="G539" s="168"/>
      <c r="H539" s="133"/>
      <c r="I539" s="186"/>
      <c r="J539" s="170"/>
      <c r="L539" s="216" t="n">
        <v>587.82</v>
      </c>
      <c r="M539" s="216" t="n">
        <f aca="false">L539*45%</f>
        <v>264.519</v>
      </c>
      <c r="N539" s="217" t="n">
        <f aca="false">L539+M539</f>
        <v>852.339</v>
      </c>
    </row>
    <row r="540" s="156" customFormat="true" ht="12.75" hidden="false" customHeight="false" outlineLevel="0" collapsed="false">
      <c r="A540" s="148"/>
      <c r="B540" s="165"/>
      <c r="C540" s="42"/>
      <c r="D540" s="166" t="s">
        <v>114</v>
      </c>
      <c r="E540" s="194" t="s">
        <v>115</v>
      </c>
      <c r="F540" s="167" t="e">
        <f aca="false">N540</f>
        <v>#NAME?</v>
      </c>
      <c r="G540" s="168" t="n">
        <f aca="false">F105+F116+F127+F138+F152+F163*C156+F174+F185+F196+F207+F218+F229+F240*2+F251*C244+F262+F273+F284+F295+F306*2+F317+F328+F339+F350+F361+F372+F383+F394+F405+F416+F427+F438+F449+F460+F471*C464+F485+F496*C489+F507</f>
        <v>200.25</v>
      </c>
      <c r="H540" s="133" t="n">
        <f aca="false">+G540*F540*22</f>
        <v>2783687.86575</v>
      </c>
      <c r="I540" s="186"/>
      <c r="J540" s="170"/>
      <c r="L540" s="218" t="n">
        <v>435.77</v>
      </c>
      <c r="M540" s="216" t="e">
        <f aca="false">L540*45%</f>
        <v>#NAME?</v>
      </c>
      <c r="N540" s="217" t="e">
        <f aca="false">L540+M540</f>
        <v>#NAME?</v>
      </c>
    </row>
    <row r="541" s="156" customFormat="true" ht="12.75" hidden="false" customHeight="false" outlineLevel="0" collapsed="false">
      <c r="A541" s="148"/>
      <c r="B541" s="165"/>
      <c r="C541" s="42"/>
      <c r="D541" s="166" t="s">
        <v>116</v>
      </c>
      <c r="E541" s="219" t="s">
        <v>115</v>
      </c>
      <c r="F541" s="167" t="e">
        <f aca="false">N541</f>
        <v>#NAME?</v>
      </c>
      <c r="G541" s="168"/>
      <c r="H541" s="133"/>
      <c r="I541" s="186"/>
      <c r="J541" s="170"/>
      <c r="L541" s="218" t="n">
        <v>143.85</v>
      </c>
      <c r="M541" s="216" t="e">
        <f aca="false">L541*45%</f>
        <v>#NAME?</v>
      </c>
      <c r="N541" s="217" t="e">
        <f aca="false">L541+M541</f>
        <v>#NAME?</v>
      </c>
    </row>
    <row r="542" s="156" customFormat="true" ht="12.75" hidden="false" customHeight="false" outlineLevel="0" collapsed="false">
      <c r="A542" s="148"/>
      <c r="B542" s="165"/>
      <c r="C542" s="42"/>
      <c r="D542" s="166" t="s">
        <v>117</v>
      </c>
      <c r="E542" s="195" t="s">
        <v>115</v>
      </c>
      <c r="F542" s="167" t="e">
        <f aca="false">N542</f>
        <v>#NAME?</v>
      </c>
      <c r="G542" s="168" t="n">
        <f aca="false">+F542*22</f>
        <v>17312.768</v>
      </c>
      <c r="H542" s="133" t="n">
        <f aca="false">+G542*3*C475</f>
        <v>2077532.16</v>
      </c>
      <c r="I542" s="186"/>
      <c r="J542" s="170"/>
      <c r="L542" s="218" t="n">
        <v>542.72</v>
      </c>
      <c r="M542" s="216" t="e">
        <f aca="false">L542*45%</f>
        <v>#NAME?</v>
      </c>
      <c r="N542" s="217" t="e">
        <f aca="false">L542+M542</f>
        <v>#NAME?</v>
      </c>
    </row>
    <row r="543" s="156" customFormat="true" ht="12.75" hidden="false" customHeight="false" outlineLevel="0" collapsed="false">
      <c r="A543" s="148"/>
      <c r="B543" s="165"/>
      <c r="C543" s="42"/>
      <c r="D543" s="166" t="s">
        <v>118</v>
      </c>
      <c r="E543" s="195" t="s">
        <v>61</v>
      </c>
      <c r="F543" s="167" t="e">
        <f aca="false">N543</f>
        <v>#NAME?</v>
      </c>
      <c r="G543" s="133"/>
      <c r="H543" s="133"/>
      <c r="I543" s="186"/>
      <c r="J543" s="170"/>
      <c r="L543" s="218" t="n">
        <v>143.85</v>
      </c>
      <c r="M543" s="216" t="e">
        <f aca="false">L543*45%</f>
        <v>#NAME?</v>
      </c>
      <c r="N543" s="217" t="e">
        <f aca="false">L543+M543</f>
        <v>#NAME?</v>
      </c>
    </row>
    <row r="544" s="156" customFormat="true" ht="12.75" hidden="false" customHeight="false" outlineLevel="0" collapsed="false">
      <c r="A544" s="148"/>
      <c r="B544" s="165"/>
      <c r="C544" s="42"/>
      <c r="D544" s="166" t="s">
        <v>119</v>
      </c>
      <c r="E544" s="194" t="s">
        <v>61</v>
      </c>
      <c r="F544" s="167" t="n">
        <f aca="false">N544</f>
        <v>9011.0105</v>
      </c>
      <c r="G544" s="168"/>
      <c r="H544" s="133"/>
      <c r="I544" s="186"/>
      <c r="J544" s="170"/>
      <c r="L544" s="218" t="n">
        <v>6214.49</v>
      </c>
      <c r="M544" s="220" t="n">
        <f aca="false">L544*45%</f>
        <v>2796.5205</v>
      </c>
      <c r="N544" s="217" t="n">
        <f aca="false">L544+M544</f>
        <v>9011.0105</v>
      </c>
    </row>
    <row r="545" s="156" customFormat="true" ht="12.75" hidden="false" customHeight="false" outlineLevel="0" collapsed="false">
      <c r="A545" s="148"/>
      <c r="B545" s="165"/>
      <c r="C545" s="42"/>
      <c r="D545" s="166" t="s">
        <v>120</v>
      </c>
      <c r="E545" s="195" t="s">
        <v>121</v>
      </c>
      <c r="F545" s="167" t="n">
        <f aca="false">N545</f>
        <v>0</v>
      </c>
      <c r="G545" s="137" t="n">
        <f aca="false">+C537</f>
        <v>52</v>
      </c>
      <c r="H545" s="133" t="n">
        <f aca="false">+F545*G545</f>
        <v>0</v>
      </c>
      <c r="I545" s="169"/>
      <c r="J545" s="170"/>
      <c r="N545" s="217"/>
    </row>
    <row r="546" s="156" customFormat="true" ht="12.75" hidden="false" customHeight="false" outlineLevel="0" collapsed="false">
      <c r="A546" s="148"/>
      <c r="B546" s="165"/>
      <c r="C546" s="42"/>
      <c r="D546" s="221" t="s">
        <v>64</v>
      </c>
      <c r="E546" s="195" t="s">
        <v>121</v>
      </c>
      <c r="F546" s="167"/>
      <c r="G546" s="137" t="n">
        <f aca="false">+C537</f>
        <v>52</v>
      </c>
      <c r="H546" s="133" t="n">
        <f aca="false">+H540/4*0.5+H542/2.5*0.5+H547/4*0.5</f>
        <v>816842.41521875</v>
      </c>
      <c r="I546" s="177"/>
      <c r="J546" s="178"/>
    </row>
    <row r="547" s="156" customFormat="true" ht="12.75" hidden="false" customHeight="false" outlineLevel="0" collapsed="false">
      <c r="A547" s="148"/>
      <c r="B547" s="165"/>
      <c r="C547" s="42"/>
      <c r="D547" s="221" t="s">
        <v>122</v>
      </c>
      <c r="E547" s="222" t="s">
        <v>123</v>
      </c>
      <c r="F547" s="167" t="n">
        <v>427</v>
      </c>
      <c r="G547" s="223" t="n">
        <f aca="false">J3*2</f>
        <v>100</v>
      </c>
      <c r="H547" s="133" t="n">
        <f aca="false">+G547*F547*10</f>
        <v>427000</v>
      </c>
      <c r="I547" s="224" t="n">
        <v>0</v>
      </c>
      <c r="J547" s="225" t="n">
        <f aca="false">SUM(H539:H547)</f>
        <v>6105062.44096875</v>
      </c>
    </row>
    <row r="548" s="156" customFormat="true" ht="12.75" hidden="false" customHeight="false" outlineLevel="0" collapsed="false">
      <c r="A548" s="148"/>
      <c r="B548" s="165"/>
      <c r="C548" s="42"/>
      <c r="D548" s="226"/>
      <c r="E548" s="187"/>
      <c r="F548" s="167"/>
      <c r="G548" s="188"/>
      <c r="H548" s="171"/>
      <c r="I548" s="181"/>
      <c r="J548" s="182"/>
    </row>
    <row r="549" s="113" customFormat="true" ht="20.1" hidden="false" customHeight="true" outlineLevel="0" collapsed="false">
      <c r="A549" s="7"/>
      <c r="B549" s="18"/>
      <c r="C549" s="42"/>
      <c r="D549" s="109"/>
      <c r="E549" s="119"/>
      <c r="F549" s="227" t="s">
        <v>124</v>
      </c>
      <c r="G549" s="227"/>
      <c r="H549" s="197" t="n">
        <f aca="false">SUM(H539:H548)</f>
        <v>6105062.44096875</v>
      </c>
      <c r="I549" s="198" t="n">
        <f aca="false">SUM(I111:I548)</f>
        <v>0</v>
      </c>
      <c r="J549" s="198" t="n">
        <f aca="false">SUM(J539:J548)</f>
        <v>6105062.44096875</v>
      </c>
    </row>
    <row r="550" s="113" customFormat="true" ht="20.1" hidden="false" customHeight="true" outlineLevel="0" collapsed="false">
      <c r="A550" s="7"/>
      <c r="B550" s="18"/>
      <c r="C550" s="42"/>
      <c r="D550" s="109"/>
      <c r="E550" s="119"/>
      <c r="F550" s="228"/>
      <c r="G550" s="228"/>
      <c r="H550" s="229"/>
      <c r="I550" s="229"/>
      <c r="J550" s="229"/>
    </row>
    <row r="551" s="113" customFormat="true" ht="20.1" hidden="false" customHeight="true" outlineLevel="0" collapsed="false">
      <c r="A551" s="7"/>
      <c r="B551" s="18"/>
      <c r="C551" s="42"/>
      <c r="D551" s="109"/>
      <c r="E551" s="119"/>
      <c r="F551" s="227" t="s">
        <v>125</v>
      </c>
      <c r="G551" s="227"/>
      <c r="H551" s="197" t="n">
        <f aca="false">+H549+H535</f>
        <v>69088571.5033146</v>
      </c>
      <c r="I551" s="198"/>
      <c r="J551" s="198" t="n">
        <f aca="false">+H551</f>
        <v>69088571.5033146</v>
      </c>
    </row>
    <row r="552" s="113" customFormat="true" ht="30" hidden="false" customHeight="true" outlineLevel="0" collapsed="false">
      <c r="A552" s="7"/>
      <c r="B552" s="18"/>
      <c r="C552" s="118"/>
      <c r="D552" s="109"/>
      <c r="E552" s="230"/>
      <c r="F552" s="231"/>
      <c r="G552" s="231"/>
      <c r="H552" s="232"/>
      <c r="I552" s="232"/>
      <c r="J552" s="232"/>
    </row>
    <row r="553" s="94" customFormat="true" ht="15" hidden="false" customHeight="true" outlineLevel="0" collapsed="false">
      <c r="A553" s="85"/>
      <c r="B553" s="122"/>
      <c r="C553" s="147" t="n">
        <v>5</v>
      </c>
      <c r="D553" s="123" t="s">
        <v>14</v>
      </c>
      <c r="E553" s="124" t="s">
        <v>26</v>
      </c>
      <c r="F553" s="125" t="s">
        <v>27</v>
      </c>
      <c r="G553" s="126" t="s">
        <v>28</v>
      </c>
      <c r="H553" s="127" t="s">
        <v>9</v>
      </c>
      <c r="I553" s="128" t="s">
        <v>10</v>
      </c>
      <c r="J553" s="128" t="s">
        <v>11</v>
      </c>
      <c r="L553" s="233" t="n">
        <v>44378</v>
      </c>
      <c r="M553" s="234" t="n">
        <v>0.4</v>
      </c>
      <c r="N553" s="235" t="s">
        <v>126</v>
      </c>
      <c r="O553" s="236"/>
    </row>
    <row r="554" s="249" customFormat="true" ht="15" hidden="false" customHeight="true" outlineLevel="0" collapsed="false">
      <c r="A554" s="237"/>
      <c r="B554" s="238"/>
      <c r="C554" s="145" t="n">
        <v>1</v>
      </c>
      <c r="D554" s="207" t="s">
        <v>127</v>
      </c>
      <c r="E554" s="239"/>
      <c r="F554" s="240"/>
      <c r="G554" s="240"/>
      <c r="H554" s="241"/>
      <c r="I554" s="242"/>
      <c r="J554" s="243"/>
      <c r="K554" s="244" t="s">
        <v>128</v>
      </c>
      <c r="L554" s="245" t="n">
        <v>217000</v>
      </c>
      <c r="M554" s="246" t="n">
        <f aca="false">L554*40%</f>
        <v>86800</v>
      </c>
      <c r="N554" s="247" t="n">
        <f aca="false">L554+M554</f>
        <v>303800</v>
      </c>
      <c r="O554" s="248"/>
    </row>
    <row r="555" s="25" customFormat="true" ht="12.75" hidden="false" customHeight="false" outlineLevel="0" collapsed="false">
      <c r="A555" s="7"/>
      <c r="B555" s="59"/>
      <c r="C555" s="145"/>
      <c r="D555" s="250" t="s">
        <v>129</v>
      </c>
      <c r="E555" s="136" t="s">
        <v>130</v>
      </c>
      <c r="F555" s="133" t="n">
        <v>303800</v>
      </c>
      <c r="G555" s="251" t="n">
        <v>3</v>
      </c>
      <c r="H555" s="133" t="n">
        <f aca="false">+G555*F555*C554</f>
        <v>911400</v>
      </c>
      <c r="I555" s="252"/>
      <c r="J555" s="170"/>
    </row>
    <row r="556" s="25" customFormat="true" ht="12.75" hidden="false" customHeight="false" outlineLevel="0" collapsed="false">
      <c r="A556" s="7"/>
      <c r="B556" s="59"/>
      <c r="C556" s="145"/>
      <c r="D556" s="175" t="s">
        <v>64</v>
      </c>
      <c r="E556" s="173" t="s">
        <v>30</v>
      </c>
      <c r="F556" s="167"/>
      <c r="G556" s="188"/>
      <c r="H556" s="133" t="n">
        <f aca="false">H555*8.33%</f>
        <v>75919.62</v>
      </c>
      <c r="I556" s="252"/>
      <c r="J556" s="170"/>
    </row>
    <row r="557" s="25" customFormat="true" ht="12.75" hidden="false" customHeight="false" outlineLevel="0" collapsed="false">
      <c r="A557" s="7"/>
      <c r="B557" s="59"/>
      <c r="C557" s="145"/>
      <c r="D557" s="175" t="s">
        <v>65</v>
      </c>
      <c r="E557" s="167"/>
      <c r="F557" s="167"/>
      <c r="G557" s="180"/>
      <c r="H557" s="133" t="n">
        <f aca="false">H555*7%</f>
        <v>63798</v>
      </c>
      <c r="I557" s="253"/>
      <c r="J557" s="254"/>
    </row>
    <row r="558" s="25" customFormat="true" ht="12.75" hidden="false" customHeight="false" outlineLevel="0" collapsed="false">
      <c r="A558" s="7"/>
      <c r="B558" s="59"/>
      <c r="C558" s="42"/>
      <c r="D558" s="166"/>
      <c r="E558" s="136" t="s">
        <v>30</v>
      </c>
      <c r="F558" s="133"/>
      <c r="G558" s="251" t="n">
        <f aca="false">SUM(G555:G557)</f>
        <v>3</v>
      </c>
      <c r="H558" s="133" t="n">
        <f aca="false">SUM(H555:H557)</f>
        <v>1051117.62</v>
      </c>
      <c r="I558" s="182" t="n">
        <v>0</v>
      </c>
      <c r="J558" s="182" t="n">
        <f aca="false">+H558*C554</f>
        <v>1051117.62</v>
      </c>
    </row>
    <row r="559" s="249" customFormat="true" ht="15" hidden="false" customHeight="true" outlineLevel="0" collapsed="false">
      <c r="A559" s="237"/>
      <c r="B559" s="238"/>
      <c r="C559" s="145" t="n">
        <v>6</v>
      </c>
      <c r="D559" s="207" t="s">
        <v>131</v>
      </c>
      <c r="E559" s="239"/>
      <c r="F559" s="240"/>
      <c r="G559" s="240"/>
      <c r="H559" s="241"/>
      <c r="I559" s="242"/>
      <c r="J559" s="243"/>
    </row>
    <row r="560" s="25" customFormat="true" ht="12.75" hidden="false" customHeight="false" outlineLevel="0" collapsed="false">
      <c r="A560" s="7"/>
      <c r="B560" s="59"/>
      <c r="C560" s="145"/>
      <c r="D560" s="166" t="s">
        <v>132</v>
      </c>
      <c r="E560" s="136" t="s">
        <v>130</v>
      </c>
      <c r="F560" s="133" t="n">
        <v>1200000</v>
      </c>
      <c r="G560" s="251" t="n">
        <v>3</v>
      </c>
      <c r="H560" s="133" t="n">
        <f aca="false">+G560*F560</f>
        <v>3600000</v>
      </c>
      <c r="I560" s="252"/>
      <c r="J560" s="170"/>
    </row>
    <row r="561" s="25" customFormat="true" ht="12.75" hidden="false" customHeight="false" outlineLevel="0" collapsed="false">
      <c r="A561" s="7"/>
      <c r="B561" s="59"/>
      <c r="C561" s="145"/>
      <c r="D561" s="166" t="s">
        <v>133</v>
      </c>
      <c r="E561" s="136" t="s">
        <v>130</v>
      </c>
      <c r="F561" s="146" t="n">
        <v>600000</v>
      </c>
      <c r="G561" s="251" t="n">
        <v>3</v>
      </c>
      <c r="H561" s="133" t="n">
        <f aca="false">+G561*F561</f>
        <v>1800000</v>
      </c>
      <c r="I561" s="252"/>
      <c r="J561" s="170"/>
    </row>
    <row r="562" s="25" customFormat="true" ht="12.75" hidden="false" customHeight="false" outlineLevel="0" collapsed="false">
      <c r="A562" s="7"/>
      <c r="B562" s="59"/>
      <c r="C562" s="145"/>
      <c r="D562" s="26" t="s">
        <v>134</v>
      </c>
      <c r="E562" s="136" t="s">
        <v>130</v>
      </c>
      <c r="F562" s="146" t="n">
        <v>229916</v>
      </c>
      <c r="G562" s="251" t="n">
        <v>3</v>
      </c>
      <c r="H562" s="133" t="n">
        <f aca="false">+G562*F562</f>
        <v>689748</v>
      </c>
      <c r="I562" s="252"/>
      <c r="J562" s="170"/>
    </row>
    <row r="563" s="25" customFormat="true" ht="12.75" hidden="false" customHeight="false" outlineLevel="0" collapsed="false">
      <c r="A563" s="7"/>
      <c r="B563" s="59"/>
      <c r="C563" s="145"/>
      <c r="D563" s="166" t="s">
        <v>135</v>
      </c>
      <c r="E563" s="136" t="s">
        <v>130</v>
      </c>
      <c r="F563" s="146"/>
      <c r="G563" s="255" t="s">
        <v>136</v>
      </c>
      <c r="H563" s="133" t="n">
        <f aca="false">SUM(H560:H562)</f>
        <v>6089748</v>
      </c>
      <c r="I563" s="252"/>
      <c r="J563" s="170"/>
    </row>
    <row r="564" s="25" customFormat="true" ht="12.75" hidden="false" customHeight="false" outlineLevel="0" collapsed="false">
      <c r="A564" s="7"/>
      <c r="B564" s="59"/>
      <c r="C564" s="145"/>
      <c r="D564" s="166" t="s">
        <v>66</v>
      </c>
      <c r="E564" s="173" t="s">
        <v>137</v>
      </c>
      <c r="F564" s="146" t="n">
        <f aca="false">H563</f>
        <v>6089748</v>
      </c>
      <c r="G564" s="251" t="n">
        <v>3</v>
      </c>
      <c r="H564" s="133" t="n">
        <f aca="false">+F564*G564</f>
        <v>18269244</v>
      </c>
      <c r="I564" s="252"/>
      <c r="J564" s="170"/>
    </row>
    <row r="565" s="25" customFormat="true" ht="12.75" hidden="false" customHeight="false" outlineLevel="0" collapsed="false">
      <c r="A565" s="7"/>
      <c r="B565" s="59"/>
      <c r="C565" s="145"/>
      <c r="D565" s="175" t="s">
        <v>64</v>
      </c>
      <c r="E565" s="173" t="s">
        <v>30</v>
      </c>
      <c r="F565" s="167"/>
      <c r="G565" s="188"/>
      <c r="H565" s="133" t="n">
        <f aca="false">H564*8.33%</f>
        <v>1521828.0252</v>
      </c>
      <c r="I565" s="253"/>
      <c r="J565" s="254"/>
    </row>
    <row r="566" s="25" customFormat="true" ht="12.75" hidden="false" customHeight="false" outlineLevel="0" collapsed="false">
      <c r="A566" s="7"/>
      <c r="B566" s="59"/>
      <c r="C566" s="42"/>
      <c r="D566" s="175" t="s">
        <v>65</v>
      </c>
      <c r="E566" s="173" t="s">
        <v>30</v>
      </c>
      <c r="F566" s="167"/>
      <c r="G566" s="180"/>
      <c r="H566" s="133" t="n">
        <f aca="false">H564*7%</f>
        <v>1278847.08</v>
      </c>
      <c r="I566" s="182" t="n">
        <v>0</v>
      </c>
      <c r="J566" s="182" t="n">
        <f aca="false">+H566+H564+H565</f>
        <v>21069919.1052</v>
      </c>
    </row>
    <row r="567" s="249" customFormat="true" ht="15" hidden="false" customHeight="true" outlineLevel="0" collapsed="false">
      <c r="A567" s="237"/>
      <c r="B567" s="238"/>
      <c r="C567" s="145" t="n">
        <v>2</v>
      </c>
      <c r="D567" s="207" t="s">
        <v>138</v>
      </c>
      <c r="E567" s="239"/>
      <c r="F567" s="240"/>
      <c r="G567" s="240"/>
      <c r="H567" s="241"/>
      <c r="I567" s="242"/>
      <c r="J567" s="243"/>
    </row>
    <row r="568" s="25" customFormat="true" ht="12.75" hidden="false" customHeight="false" outlineLevel="0" collapsed="false">
      <c r="A568" s="7"/>
      <c r="B568" s="59"/>
      <c r="C568" s="145"/>
      <c r="D568" s="26" t="s">
        <v>139</v>
      </c>
      <c r="E568" s="136" t="s">
        <v>30</v>
      </c>
      <c r="F568" s="133" t="n">
        <v>500000</v>
      </c>
      <c r="G568" s="251" t="n">
        <v>3</v>
      </c>
      <c r="H568" s="133" t="n">
        <f aca="false">+G568*F568</f>
        <v>1500000</v>
      </c>
      <c r="I568" s="252"/>
      <c r="J568" s="170"/>
    </row>
    <row r="569" s="25" customFormat="true" ht="12.75" hidden="false" customHeight="false" outlineLevel="0" collapsed="false">
      <c r="A569" s="7"/>
      <c r="B569" s="59"/>
      <c r="C569" s="256"/>
      <c r="D569" s="166" t="s">
        <v>140</v>
      </c>
      <c r="E569" s="136" t="s">
        <v>30</v>
      </c>
      <c r="F569" s="133" t="n">
        <v>350000</v>
      </c>
      <c r="G569" s="251" t="n">
        <v>3</v>
      </c>
      <c r="H569" s="133" t="n">
        <f aca="false">+G569*F569</f>
        <v>1050000</v>
      </c>
      <c r="I569" s="252"/>
      <c r="J569" s="170"/>
    </row>
    <row r="570" s="25" customFormat="true" ht="12.75" hidden="false" customHeight="false" outlineLevel="0" collapsed="false">
      <c r="A570" s="7"/>
      <c r="B570" s="59"/>
      <c r="C570" s="256"/>
      <c r="D570" s="166"/>
      <c r="E570" s="136" t="s">
        <v>30</v>
      </c>
      <c r="F570" s="133"/>
      <c r="G570" s="251"/>
      <c r="H570" s="133" t="n">
        <f aca="false">SUM(H568:H569)</f>
        <v>2550000</v>
      </c>
      <c r="I570" s="252"/>
      <c r="J570" s="170"/>
    </row>
    <row r="571" s="25" customFormat="true" ht="12.75" hidden="false" customHeight="false" outlineLevel="0" collapsed="false">
      <c r="A571" s="7"/>
      <c r="B571" s="59"/>
      <c r="C571" s="256"/>
      <c r="D571" s="175" t="s">
        <v>64</v>
      </c>
      <c r="E571" s="173" t="s">
        <v>30</v>
      </c>
      <c r="F571" s="167"/>
      <c r="G571" s="188"/>
      <c r="H571" s="133" t="n">
        <f aca="false">H570*8.33%</f>
        <v>212415</v>
      </c>
      <c r="I571" s="252"/>
      <c r="J571" s="170"/>
    </row>
    <row r="572" s="25" customFormat="true" ht="12.75" hidden="false" customHeight="false" outlineLevel="0" collapsed="false">
      <c r="A572" s="7"/>
      <c r="B572" s="59"/>
      <c r="C572" s="42"/>
      <c r="D572" s="175" t="s">
        <v>65</v>
      </c>
      <c r="E572" s="173" t="s">
        <v>30</v>
      </c>
      <c r="F572" s="167"/>
      <c r="G572" s="180"/>
      <c r="H572" s="133" t="n">
        <f aca="false">H570*7%</f>
        <v>178500</v>
      </c>
      <c r="I572" s="182" t="n">
        <v>0</v>
      </c>
      <c r="J572" s="182" t="n">
        <f aca="false">H572+H571+H570</f>
        <v>2940915</v>
      </c>
    </row>
    <row r="573" s="249" customFormat="true" ht="15" hidden="false" customHeight="true" outlineLevel="0" collapsed="false">
      <c r="A573" s="237"/>
      <c r="B573" s="238"/>
      <c r="C573" s="145" t="n">
        <v>5</v>
      </c>
      <c r="D573" s="207" t="s">
        <v>141</v>
      </c>
      <c r="E573" s="239"/>
      <c r="F573" s="240"/>
      <c r="G573" s="240"/>
      <c r="H573" s="241"/>
      <c r="I573" s="242"/>
      <c r="J573" s="243"/>
    </row>
    <row r="574" s="156" customFormat="true" ht="13.5" hidden="false" customHeight="false" outlineLevel="0" collapsed="false">
      <c r="A574" s="148"/>
      <c r="B574" s="165"/>
      <c r="C574" s="145"/>
      <c r="D574" s="166" t="s">
        <v>142</v>
      </c>
      <c r="E574" s="160" t="s">
        <v>115</v>
      </c>
      <c r="F574" s="146" t="n">
        <v>18978</v>
      </c>
      <c r="G574" s="255" t="n">
        <v>8</v>
      </c>
      <c r="H574" s="146"/>
      <c r="I574" s="252"/>
      <c r="J574" s="170"/>
      <c r="K574" s="257" t="s">
        <v>143</v>
      </c>
      <c r="M574" s="258" t="n">
        <v>44378</v>
      </c>
      <c r="N574" s="259" t="n">
        <v>0.4</v>
      </c>
      <c r="O574" s="260" t="s">
        <v>126</v>
      </c>
    </row>
    <row r="575" s="156" customFormat="true" ht="12.75" hidden="false" customHeight="false" outlineLevel="0" collapsed="false">
      <c r="A575" s="148"/>
      <c r="B575" s="165"/>
      <c r="C575" s="145"/>
      <c r="D575" s="166" t="s">
        <v>144</v>
      </c>
      <c r="E575" s="136" t="s">
        <v>115</v>
      </c>
      <c r="F575" s="146" t="n">
        <f aca="false">K575*3</f>
        <v>8130</v>
      </c>
      <c r="G575" s="255" t="n">
        <v>8</v>
      </c>
      <c r="H575" s="146"/>
      <c r="I575" s="252"/>
      <c r="J575" s="170"/>
      <c r="K575" s="218" t="n">
        <v>2710</v>
      </c>
      <c r="L575" s="25" t="s">
        <v>145</v>
      </c>
      <c r="M575" s="156" t="n">
        <v>13556</v>
      </c>
      <c r="N575" s="156" t="n">
        <f aca="false">M575*40%</f>
        <v>5422.4</v>
      </c>
      <c r="O575" s="156" t="n">
        <f aca="false">M575+N575</f>
        <v>18978.4</v>
      </c>
    </row>
    <row r="576" s="156" customFormat="true" ht="12.75" hidden="false" customHeight="false" outlineLevel="0" collapsed="false">
      <c r="A576" s="148"/>
      <c r="B576" s="165"/>
      <c r="C576" s="145"/>
      <c r="D576" s="166" t="s">
        <v>146</v>
      </c>
      <c r="E576" s="136" t="s">
        <v>115</v>
      </c>
      <c r="F576" s="146" t="n">
        <f aca="false">SUM(F574:F575)</f>
        <v>27108</v>
      </c>
      <c r="G576" s="255" t="n">
        <v>1</v>
      </c>
      <c r="H576" s="146" t="n">
        <f aca="false">+G576*F576</f>
        <v>27108</v>
      </c>
      <c r="I576" s="252"/>
      <c r="J576" s="170"/>
      <c r="L576" s="25" t="s">
        <v>147</v>
      </c>
      <c r="M576" s="156" t="n">
        <v>3646</v>
      </c>
      <c r="N576" s="156" t="n">
        <f aca="false">M576*40%</f>
        <v>1458.4</v>
      </c>
      <c r="O576" s="156" t="n">
        <f aca="false">M576+N576</f>
        <v>5104.4</v>
      </c>
    </row>
    <row r="577" s="156" customFormat="true" ht="12.75" hidden="false" customHeight="false" outlineLevel="0" collapsed="false">
      <c r="A577" s="148"/>
      <c r="B577" s="165"/>
      <c r="C577" s="145"/>
      <c r="D577" s="26" t="s">
        <v>148</v>
      </c>
      <c r="E577" s="173" t="s">
        <v>30</v>
      </c>
      <c r="F577" s="146" t="n">
        <f aca="false">F576</f>
        <v>27108</v>
      </c>
      <c r="G577" s="255" t="n">
        <f aca="false">G574*5</f>
        <v>40</v>
      </c>
      <c r="H577" s="133" t="n">
        <f aca="false">+F577*G577</f>
        <v>1084320</v>
      </c>
      <c r="I577" s="252"/>
      <c r="J577" s="170"/>
    </row>
    <row r="578" s="156" customFormat="true" ht="12.75" hidden="false" customHeight="false" outlineLevel="0" collapsed="false">
      <c r="A578" s="148"/>
      <c r="B578" s="165"/>
      <c r="C578" s="145"/>
      <c r="D578" s="175" t="s">
        <v>64</v>
      </c>
      <c r="E578" s="173" t="s">
        <v>30</v>
      </c>
      <c r="F578" s="167"/>
      <c r="G578" s="188"/>
      <c r="H578" s="133" t="n">
        <f aca="false">H577*8.33%</f>
        <v>90323.856</v>
      </c>
      <c r="I578" s="252"/>
      <c r="J578" s="170"/>
    </row>
    <row r="579" s="25" customFormat="true" ht="12.75" hidden="false" customHeight="false" outlineLevel="0" collapsed="false">
      <c r="A579" s="7"/>
      <c r="B579" s="59"/>
      <c r="C579" s="42"/>
      <c r="D579" s="175" t="s">
        <v>65</v>
      </c>
      <c r="E579" s="173" t="s">
        <v>30</v>
      </c>
      <c r="F579" s="167"/>
      <c r="G579" s="180"/>
      <c r="H579" s="133" t="n">
        <f aca="false">H577*7%</f>
        <v>75902.4</v>
      </c>
      <c r="I579" s="182" t="n">
        <v>0</v>
      </c>
      <c r="J579" s="182" t="n">
        <f aca="false">H579+H578+H577</f>
        <v>1250546.256</v>
      </c>
    </row>
    <row r="580" s="249" customFormat="true" ht="15" hidden="false" customHeight="true" outlineLevel="0" collapsed="false">
      <c r="A580" s="237"/>
      <c r="B580" s="238"/>
      <c r="C580" s="261" t="n">
        <f aca="false">10*13</f>
        <v>130</v>
      </c>
      <c r="D580" s="159" t="s">
        <v>149</v>
      </c>
      <c r="E580" s="239"/>
      <c r="F580" s="240"/>
      <c r="G580" s="240"/>
      <c r="H580" s="241"/>
      <c r="I580" s="242"/>
      <c r="J580" s="243"/>
    </row>
    <row r="581" s="156" customFormat="true" ht="12.75" hidden="false" customHeight="false" outlineLevel="0" collapsed="false">
      <c r="A581" s="148"/>
      <c r="B581" s="165"/>
      <c r="C581" s="262"/>
      <c r="D581" s="26" t="s">
        <v>150</v>
      </c>
      <c r="E581" s="263"/>
      <c r="F581" s="264"/>
      <c r="G581" s="264"/>
      <c r="H581" s="265"/>
      <c r="I581" s="252"/>
      <c r="J581" s="170"/>
    </row>
    <row r="582" s="156" customFormat="true" ht="12.75" hidden="false" customHeight="false" outlineLevel="0" collapsed="false">
      <c r="A582" s="148"/>
      <c r="B582" s="165"/>
      <c r="C582" s="262"/>
      <c r="D582" s="166" t="s">
        <v>151</v>
      </c>
      <c r="E582" s="266" t="s">
        <v>115</v>
      </c>
      <c r="F582" s="146" t="n">
        <v>5104</v>
      </c>
      <c r="G582" s="146" t="n">
        <v>1</v>
      </c>
      <c r="H582" s="146" t="n">
        <f aca="false">F582*$C$580</f>
        <v>663520</v>
      </c>
      <c r="I582" s="252"/>
      <c r="J582" s="170"/>
    </row>
    <row r="583" s="156" customFormat="true" ht="12.75" hidden="false" customHeight="false" outlineLevel="0" collapsed="false">
      <c r="A583" s="148"/>
      <c r="B583" s="165"/>
      <c r="C583" s="262"/>
      <c r="D583" s="166" t="s">
        <v>152</v>
      </c>
      <c r="E583" s="266" t="s">
        <v>115</v>
      </c>
      <c r="F583" s="146" t="n">
        <f aca="false">F582*25%*3</f>
        <v>3828</v>
      </c>
      <c r="G583" s="255" t="n">
        <v>1</v>
      </c>
      <c r="H583" s="146" t="n">
        <f aca="false">F583*$C$580</f>
        <v>497640</v>
      </c>
      <c r="I583" s="252"/>
      <c r="J583" s="170"/>
    </row>
    <row r="584" s="156" customFormat="true" ht="12.75" hidden="false" customHeight="false" outlineLevel="0" collapsed="false">
      <c r="A584" s="148"/>
      <c r="B584" s="165"/>
      <c r="C584" s="262"/>
      <c r="D584" s="26" t="s">
        <v>153</v>
      </c>
      <c r="E584" s="267" t="s">
        <v>115</v>
      </c>
      <c r="F584" s="146" t="n">
        <f aca="false">F582*15%</f>
        <v>765.6</v>
      </c>
      <c r="G584" s="255" t="n">
        <v>1</v>
      </c>
      <c r="H584" s="146" t="n">
        <f aca="false">F584*$C$580</f>
        <v>99528</v>
      </c>
      <c r="I584" s="252"/>
      <c r="J584" s="170"/>
    </row>
    <row r="585" s="156" customFormat="true" ht="12.75" hidden="false" customHeight="false" outlineLevel="0" collapsed="false">
      <c r="A585" s="148"/>
      <c r="B585" s="165"/>
      <c r="C585" s="262"/>
      <c r="D585" s="26" t="s">
        <v>154</v>
      </c>
      <c r="E585" s="266" t="s">
        <v>66</v>
      </c>
      <c r="F585" s="146" t="n">
        <f aca="false">SUM(F582:F584)</f>
        <v>9697.6</v>
      </c>
      <c r="G585" s="255" t="n">
        <v>1</v>
      </c>
      <c r="H585" s="146" t="n">
        <f aca="false">+G585*F585</f>
        <v>9697.6</v>
      </c>
      <c r="I585" s="252"/>
      <c r="J585" s="170"/>
    </row>
    <row r="586" s="156" customFormat="true" ht="12.75" hidden="false" customHeight="false" outlineLevel="0" collapsed="false">
      <c r="A586" s="148"/>
      <c r="B586" s="165"/>
      <c r="C586" s="262"/>
      <c r="D586" s="268" t="s">
        <v>155</v>
      </c>
      <c r="E586" s="266" t="s">
        <v>66</v>
      </c>
      <c r="F586" s="146" t="n">
        <f aca="false">F585</f>
        <v>9697.6</v>
      </c>
      <c r="G586" s="255" t="n">
        <v>100</v>
      </c>
      <c r="H586" s="146" t="n">
        <f aca="false">+F586*G586</f>
        <v>969760</v>
      </c>
      <c r="I586" s="182" t="n">
        <v>0</v>
      </c>
      <c r="J586" s="182" t="n">
        <f aca="false">H586</f>
        <v>969760</v>
      </c>
    </row>
    <row r="587" s="94" customFormat="true" ht="15" hidden="false" customHeight="true" outlineLevel="0" collapsed="false">
      <c r="A587" s="85"/>
      <c r="B587" s="86"/>
      <c r="C587" s="192" t="n">
        <f aca="false">SUM(C554:C586)</f>
        <v>144</v>
      </c>
      <c r="D587" s="141"/>
      <c r="E587" s="142"/>
      <c r="F587" s="126" t="s">
        <v>156</v>
      </c>
      <c r="G587" s="126" t="s">
        <v>37</v>
      </c>
      <c r="H587" s="143" t="n">
        <f aca="false">SUM(J554:J586)</f>
        <v>27282257.9812</v>
      </c>
      <c r="I587" s="144" t="n">
        <f aca="false">SUM(I559:I586)</f>
        <v>0</v>
      </c>
      <c r="J587" s="144" t="n">
        <f aca="false">SUM(J554:J586)</f>
        <v>27282257.9812</v>
      </c>
    </row>
    <row r="588" s="113" customFormat="true" ht="17.25" hidden="false" customHeight="true" outlineLevel="0" collapsed="false">
      <c r="A588" s="7"/>
      <c r="B588" s="18"/>
      <c r="C588" s="118"/>
      <c r="D588" s="269"/>
      <c r="E588" s="5"/>
      <c r="F588" s="4"/>
      <c r="G588" s="4"/>
      <c r="H588" s="270"/>
      <c r="I588" s="271"/>
      <c r="J588" s="271"/>
    </row>
    <row r="589" s="94" customFormat="true" ht="15" hidden="false" customHeight="true" outlineLevel="0" collapsed="false">
      <c r="A589" s="85"/>
      <c r="B589" s="122"/>
      <c r="C589" s="49" t="n">
        <v>6</v>
      </c>
      <c r="D589" s="123" t="s">
        <v>157</v>
      </c>
      <c r="E589" s="124" t="s">
        <v>26</v>
      </c>
      <c r="F589" s="125" t="s">
        <v>27</v>
      </c>
      <c r="G589" s="126" t="s">
        <v>28</v>
      </c>
      <c r="H589" s="127" t="s">
        <v>9</v>
      </c>
      <c r="I589" s="128" t="s">
        <v>10</v>
      </c>
      <c r="J589" s="128" t="s">
        <v>11</v>
      </c>
    </row>
    <row r="590" customFormat="false" ht="15" hidden="false" customHeight="true" outlineLevel="0" collapsed="false">
      <c r="A590" s="7"/>
      <c r="B590" s="59"/>
      <c r="C590" s="42"/>
      <c r="D590" s="272" t="s">
        <v>158</v>
      </c>
      <c r="E590" s="273" t="n">
        <v>0.29</v>
      </c>
      <c r="F590" s="274" t="n">
        <f aca="false">+J566+J572+J579+J558-H557-H566-H572-H579</f>
        <v>24715450.5012</v>
      </c>
      <c r="G590" s="275" t="n">
        <v>1</v>
      </c>
      <c r="H590" s="133" t="n">
        <f aca="false">E590*F590*G590</f>
        <v>7167480.645348</v>
      </c>
      <c r="I590" s="276" t="n">
        <v>0</v>
      </c>
      <c r="J590" s="276" t="n">
        <f aca="false">H590+I590</f>
        <v>7167480.645348</v>
      </c>
    </row>
    <row r="591" customFormat="false" ht="15" hidden="false" customHeight="true" outlineLevel="0" collapsed="false">
      <c r="A591" s="7"/>
      <c r="B591" s="59"/>
      <c r="C591" s="42"/>
      <c r="D591" s="272" t="s">
        <v>159</v>
      </c>
      <c r="E591" s="273" t="n">
        <v>0.28</v>
      </c>
      <c r="F591" s="274" t="n">
        <f aca="false">+H551-H545-H546-H509-H498*2-H487-H473*2-H462-H451-H440-H429-H418-H407-H396-H385-H374-H363-H352-H341-H330-H319-H297-H286-H275-H253*2-H242*2-H231-H220-H209-H198-H187-H176-H165*2-H154-H140-H129-H118-H107-H264-H522-H533-H308*2</f>
        <v>64920062.5797309</v>
      </c>
      <c r="G591" s="275" t="n">
        <v>1</v>
      </c>
      <c r="H591" s="133" t="n">
        <f aca="false">E591*F591*G591</f>
        <v>18177617.5223246</v>
      </c>
      <c r="I591" s="276" t="n">
        <v>0</v>
      </c>
      <c r="J591" s="276" t="n">
        <f aca="false">H591+I591</f>
        <v>18177617.5223246</v>
      </c>
    </row>
    <row r="592" customFormat="false" ht="15" hidden="false" customHeight="true" outlineLevel="0" collapsed="false">
      <c r="A592" s="7"/>
      <c r="B592" s="59"/>
      <c r="C592" s="42"/>
      <c r="D592" s="272" t="s">
        <v>160</v>
      </c>
      <c r="E592" s="273"/>
      <c r="F592" s="274" t="n">
        <v>0</v>
      </c>
      <c r="G592" s="275" t="n">
        <v>1</v>
      </c>
      <c r="H592" s="133" t="n">
        <f aca="false">E592*F592*G592</f>
        <v>0</v>
      </c>
      <c r="I592" s="276" t="n">
        <v>0</v>
      </c>
      <c r="J592" s="276" t="n">
        <f aca="false">H592+I592</f>
        <v>0</v>
      </c>
    </row>
    <row r="593" customFormat="false" ht="15" hidden="false" customHeight="true" outlineLevel="0" collapsed="false">
      <c r="A593" s="7"/>
      <c r="B593" s="59"/>
      <c r="C593" s="42"/>
      <c r="D593" s="277" t="s">
        <v>161</v>
      </c>
      <c r="E593" s="273" t="n">
        <v>0.15</v>
      </c>
      <c r="F593" s="274" t="n">
        <f aca="false">+H586</f>
        <v>969760</v>
      </c>
      <c r="G593" s="275" t="n">
        <v>1</v>
      </c>
      <c r="H593" s="133" t="n">
        <f aca="false">E593*F593*G593</f>
        <v>145464</v>
      </c>
      <c r="I593" s="276" t="n">
        <v>0</v>
      </c>
      <c r="J593" s="276" t="n">
        <f aca="false">H593+I593</f>
        <v>145464</v>
      </c>
    </row>
    <row r="594" s="94" customFormat="true" ht="15" hidden="false" customHeight="true" outlineLevel="0" collapsed="false">
      <c r="A594" s="85"/>
      <c r="B594" s="86"/>
      <c r="C594" s="140" t="n">
        <f aca="false">SUM(C590:C593)</f>
        <v>0</v>
      </c>
      <c r="D594" s="141"/>
      <c r="E594" s="142"/>
      <c r="F594" s="126" t="s">
        <v>162</v>
      </c>
      <c r="G594" s="126" t="s">
        <v>37</v>
      </c>
      <c r="H594" s="143" t="n">
        <f aca="false">SUM(H590:H593)</f>
        <v>25490562.1676726</v>
      </c>
      <c r="I594" s="144" t="n">
        <f aca="false">SUM(I590:I593)</f>
        <v>0</v>
      </c>
      <c r="J594" s="144" t="n">
        <f aca="false">SUM(J590:J593)</f>
        <v>25490562.1676726</v>
      </c>
    </row>
    <row r="595" s="113" customFormat="true" ht="30" hidden="false" customHeight="true" outlineLevel="0" collapsed="false">
      <c r="A595" s="7"/>
      <c r="B595" s="18"/>
      <c r="C595" s="118"/>
      <c r="D595" s="109"/>
      <c r="E595" s="119"/>
      <c r="F595" s="120"/>
      <c r="G595" s="120"/>
      <c r="H595" s="121"/>
      <c r="I595" s="112"/>
      <c r="J595" s="112"/>
    </row>
    <row r="596" s="94" customFormat="true" ht="15" hidden="false" customHeight="true" outlineLevel="0" collapsed="false">
      <c r="A596" s="85"/>
      <c r="B596" s="122"/>
      <c r="C596" s="49" t="n">
        <v>7</v>
      </c>
      <c r="D596" s="278" t="s">
        <v>163</v>
      </c>
      <c r="E596" s="124" t="s">
        <v>26</v>
      </c>
      <c r="F596" s="125" t="s">
        <v>27</v>
      </c>
      <c r="G596" s="126" t="s">
        <v>28</v>
      </c>
      <c r="H596" s="127" t="s">
        <v>9</v>
      </c>
      <c r="I596" s="128" t="s">
        <v>10</v>
      </c>
      <c r="J596" s="128" t="s">
        <v>11</v>
      </c>
    </row>
    <row r="597" s="249" customFormat="true" ht="15" hidden="false" customHeight="true" outlineLevel="0" collapsed="false">
      <c r="A597" s="237"/>
      <c r="B597" s="238"/>
      <c r="C597" s="279"/>
      <c r="D597" s="207" t="s">
        <v>164</v>
      </c>
      <c r="E597" s="280"/>
      <c r="F597" s="281"/>
      <c r="G597" s="282"/>
      <c r="H597" s="133"/>
      <c r="I597" s="283"/>
      <c r="J597" s="284"/>
    </row>
    <row r="598" s="25" customFormat="true" ht="15" hidden="false" customHeight="true" outlineLevel="0" collapsed="false">
      <c r="A598" s="7"/>
      <c r="B598" s="18"/>
      <c r="C598" s="42"/>
      <c r="D598" s="166"/>
      <c r="E598" s="136" t="s">
        <v>121</v>
      </c>
      <c r="F598" s="285" t="n">
        <v>1820000</v>
      </c>
      <c r="G598" s="133" t="n">
        <v>1</v>
      </c>
      <c r="H598" s="133" t="n">
        <f aca="false">G598*F598</f>
        <v>1820000</v>
      </c>
      <c r="I598" s="146" t="n">
        <f aca="false">H598*21%</f>
        <v>382200</v>
      </c>
      <c r="J598" s="146" t="n">
        <f aca="false">H598+I598</f>
        <v>2202200</v>
      </c>
      <c r="M598" s="286"/>
    </row>
    <row r="599" s="249" customFormat="true" ht="15" hidden="false" customHeight="true" outlineLevel="0" collapsed="false">
      <c r="A599" s="237"/>
      <c r="B599" s="238"/>
      <c r="C599" s="279"/>
      <c r="D599" s="207" t="s">
        <v>165</v>
      </c>
      <c r="E599" s="280"/>
      <c r="F599" s="281"/>
      <c r="G599" s="282"/>
      <c r="H599" s="133"/>
      <c r="I599" s="283"/>
      <c r="J599" s="284"/>
    </row>
    <row r="600" s="25" customFormat="true" ht="15" hidden="false" customHeight="true" outlineLevel="0" collapsed="false">
      <c r="A600" s="7"/>
      <c r="B600" s="18"/>
      <c r="C600" s="42"/>
      <c r="D600" s="166"/>
      <c r="E600" s="136" t="s">
        <v>121</v>
      </c>
      <c r="F600" s="285" t="n">
        <v>840000</v>
      </c>
      <c r="G600" s="133" t="n">
        <v>1</v>
      </c>
      <c r="H600" s="133" t="n">
        <f aca="false">G600*F600</f>
        <v>840000</v>
      </c>
      <c r="I600" s="146" t="n">
        <f aca="false">H600*21%</f>
        <v>176400</v>
      </c>
      <c r="J600" s="146" t="n">
        <f aca="false">H600+I600</f>
        <v>1016400</v>
      </c>
      <c r="M600" s="286"/>
    </row>
    <row r="601" s="249" customFormat="true" ht="15" hidden="false" customHeight="true" outlineLevel="0" collapsed="false">
      <c r="A601" s="237"/>
      <c r="B601" s="238"/>
      <c r="C601" s="279"/>
      <c r="D601" s="207" t="s">
        <v>166</v>
      </c>
      <c r="E601" s="280"/>
      <c r="F601" s="281"/>
      <c r="G601" s="282"/>
      <c r="H601" s="133"/>
      <c r="I601" s="283"/>
      <c r="J601" s="284"/>
    </row>
    <row r="602" s="25" customFormat="true" ht="15" hidden="false" customHeight="true" outlineLevel="0" collapsed="false">
      <c r="A602" s="7"/>
      <c r="B602" s="18"/>
      <c r="C602" s="42"/>
      <c r="D602" s="166"/>
      <c r="E602" s="136" t="s">
        <v>121</v>
      </c>
      <c r="F602" s="285" t="n">
        <v>400000</v>
      </c>
      <c r="G602" s="133" t="n">
        <v>1</v>
      </c>
      <c r="H602" s="133" t="n">
        <f aca="false">G602*F602</f>
        <v>400000</v>
      </c>
      <c r="I602" s="146" t="n">
        <f aca="false">H602*21%</f>
        <v>84000</v>
      </c>
      <c r="J602" s="146" t="n">
        <f aca="false">H602+I602</f>
        <v>484000</v>
      </c>
    </row>
    <row r="603" s="249" customFormat="true" ht="15" hidden="false" customHeight="true" outlineLevel="0" collapsed="false">
      <c r="A603" s="237"/>
      <c r="B603" s="238"/>
      <c r="C603" s="279"/>
      <c r="D603" s="207" t="s">
        <v>167</v>
      </c>
      <c r="E603" s="280"/>
      <c r="F603" s="281"/>
      <c r="G603" s="282"/>
      <c r="H603" s="133"/>
      <c r="I603" s="283"/>
      <c r="J603" s="284"/>
    </row>
    <row r="604" s="25" customFormat="true" ht="15" hidden="false" customHeight="true" outlineLevel="0" collapsed="false">
      <c r="A604" s="7"/>
      <c r="B604" s="18"/>
      <c r="C604" s="42"/>
      <c r="D604" s="26"/>
      <c r="E604" s="136" t="s">
        <v>121</v>
      </c>
      <c r="F604" s="285" t="n">
        <v>800000</v>
      </c>
      <c r="G604" s="133" t="n">
        <v>1</v>
      </c>
      <c r="H604" s="133" t="n">
        <f aca="false">+G604*F604</f>
        <v>800000</v>
      </c>
      <c r="I604" s="146" t="n">
        <f aca="false">H604*21%</f>
        <v>168000</v>
      </c>
      <c r="J604" s="182" t="n">
        <f aca="false">H604+I604</f>
        <v>968000</v>
      </c>
    </row>
    <row r="605" s="249" customFormat="true" ht="15" hidden="false" customHeight="true" outlineLevel="0" collapsed="false">
      <c r="A605" s="237"/>
      <c r="B605" s="238"/>
      <c r="C605" s="279"/>
      <c r="D605" s="207" t="s">
        <v>168</v>
      </c>
      <c r="E605" s="280"/>
      <c r="F605" s="281"/>
      <c r="G605" s="282"/>
      <c r="H605" s="133"/>
      <c r="I605" s="283"/>
      <c r="J605" s="284"/>
    </row>
    <row r="606" s="25" customFormat="true" ht="15" hidden="false" customHeight="true" outlineLevel="0" collapsed="false">
      <c r="A606" s="7"/>
      <c r="B606" s="18"/>
      <c r="C606" s="42"/>
      <c r="D606" s="287" t="s">
        <v>169</v>
      </c>
      <c r="E606" s="288" t="s">
        <v>121</v>
      </c>
      <c r="F606" s="274" t="n">
        <v>200000</v>
      </c>
      <c r="G606" s="275" t="n">
        <v>3</v>
      </c>
      <c r="H606" s="275" t="n">
        <f aca="false">F606*G606</f>
        <v>600000</v>
      </c>
      <c r="I606" s="289" t="n">
        <f aca="false">+H606*21%</f>
        <v>126000</v>
      </c>
      <c r="J606" s="289" t="n">
        <f aca="false">H606+I606</f>
        <v>726000</v>
      </c>
    </row>
    <row r="607" s="249" customFormat="true" ht="15" hidden="false" customHeight="true" outlineLevel="0" collapsed="false">
      <c r="A607" s="237"/>
      <c r="B607" s="238"/>
      <c r="C607" s="279"/>
      <c r="D607" s="207" t="s">
        <v>170</v>
      </c>
      <c r="E607" s="280"/>
      <c r="F607" s="281"/>
      <c r="G607" s="282"/>
      <c r="H607" s="133"/>
      <c r="I607" s="283"/>
      <c r="J607" s="284"/>
    </row>
    <row r="608" s="25" customFormat="true" ht="15" hidden="false" customHeight="true" outlineLevel="0" collapsed="false">
      <c r="A608" s="7"/>
      <c r="B608" s="18"/>
      <c r="C608" s="42"/>
      <c r="D608" s="26" t="s">
        <v>171</v>
      </c>
      <c r="E608" s="173" t="s">
        <v>137</v>
      </c>
      <c r="F608" s="285" t="n">
        <v>50000</v>
      </c>
      <c r="G608" s="133" t="n">
        <v>5</v>
      </c>
      <c r="H608" s="133" t="n">
        <f aca="false">F608*G608</f>
        <v>250000</v>
      </c>
      <c r="I608" s="146" t="n">
        <f aca="false">H608*21%</f>
        <v>52500</v>
      </c>
      <c r="J608" s="146" t="n">
        <f aca="false">H608+I608</f>
        <v>302500</v>
      </c>
    </row>
    <row r="609" s="25" customFormat="true" ht="15" hidden="false" customHeight="true" outlineLevel="0" collapsed="false">
      <c r="A609" s="7"/>
      <c r="B609" s="18"/>
      <c r="C609" s="42"/>
      <c r="D609" s="290"/>
      <c r="E609" s="136" t="s">
        <v>121</v>
      </c>
      <c r="F609" s="285" t="n">
        <v>0</v>
      </c>
      <c r="G609" s="133" t="n">
        <v>1</v>
      </c>
      <c r="H609" s="133" t="n">
        <f aca="false">G609*F609</f>
        <v>0</v>
      </c>
      <c r="I609" s="146" t="n">
        <f aca="false">H609*21%</f>
        <v>0</v>
      </c>
      <c r="J609" s="146" t="n">
        <f aca="false">H609+I609</f>
        <v>0</v>
      </c>
    </row>
    <row r="610" s="94" customFormat="true" ht="15" hidden="false" customHeight="true" outlineLevel="0" collapsed="false">
      <c r="A610" s="85"/>
      <c r="B610" s="86"/>
      <c r="C610" s="140" t="n">
        <f aca="false">SUM(C597:C609)</f>
        <v>0</v>
      </c>
      <c r="D610" s="141"/>
      <c r="E610" s="142"/>
      <c r="F610" s="126" t="s">
        <v>172</v>
      </c>
      <c r="G610" s="126"/>
      <c r="H610" s="143" t="n">
        <f aca="false">SUM(H597:H609)</f>
        <v>4710000</v>
      </c>
      <c r="I610" s="144" t="n">
        <f aca="false">SUM(I597:I609)</f>
        <v>989100</v>
      </c>
      <c r="J610" s="144" t="n">
        <f aca="false">SUM(J597:J609)</f>
        <v>5699100</v>
      </c>
    </row>
    <row r="611" s="113" customFormat="true" ht="30" hidden="false" customHeight="true" outlineLevel="0" collapsed="false">
      <c r="A611" s="7"/>
      <c r="B611" s="18"/>
      <c r="C611" s="118"/>
      <c r="D611" s="109"/>
      <c r="E611" s="119"/>
      <c r="F611" s="120"/>
      <c r="G611" s="120"/>
      <c r="H611" s="121"/>
      <c r="I611" s="112"/>
      <c r="J611" s="112"/>
    </row>
    <row r="612" s="94" customFormat="true" ht="15" hidden="false" customHeight="true" outlineLevel="0" collapsed="false">
      <c r="A612" s="85"/>
      <c r="B612" s="122"/>
      <c r="C612" s="49" t="n">
        <v>8</v>
      </c>
      <c r="D612" s="123" t="s">
        <v>173</v>
      </c>
      <c r="E612" s="124" t="s">
        <v>26</v>
      </c>
      <c r="F612" s="125" t="s">
        <v>27</v>
      </c>
      <c r="G612" s="126" t="s">
        <v>28</v>
      </c>
      <c r="H612" s="127" t="s">
        <v>9</v>
      </c>
      <c r="I612" s="128" t="s">
        <v>10</v>
      </c>
      <c r="J612" s="128" t="s">
        <v>11</v>
      </c>
    </row>
    <row r="613" s="25" customFormat="true" ht="15" hidden="false" customHeight="true" outlineLevel="0" collapsed="false">
      <c r="A613" s="7"/>
      <c r="B613" s="18"/>
      <c r="C613" s="115"/>
      <c r="D613" s="135" t="s">
        <v>174</v>
      </c>
      <c r="E613" s="136" t="s">
        <v>121</v>
      </c>
      <c r="F613" s="285" t="n">
        <v>480000</v>
      </c>
      <c r="G613" s="133" t="n">
        <v>1</v>
      </c>
      <c r="H613" s="133" t="n">
        <f aca="false">G613*F613</f>
        <v>480000</v>
      </c>
      <c r="I613" s="146" t="n">
        <f aca="false">H613*21%</f>
        <v>100800</v>
      </c>
      <c r="J613" s="146" t="n">
        <f aca="false">H613+I613</f>
        <v>580800</v>
      </c>
    </row>
    <row r="614" s="25" customFormat="true" ht="15" hidden="false" customHeight="true" outlineLevel="0" collapsed="false">
      <c r="A614" s="7"/>
      <c r="B614" s="18"/>
      <c r="C614" s="115"/>
      <c r="D614" s="135" t="s">
        <v>175</v>
      </c>
      <c r="E614" s="136" t="s">
        <v>30</v>
      </c>
      <c r="F614" s="285" t="n">
        <v>100000</v>
      </c>
      <c r="G614" s="133" t="n">
        <v>1</v>
      </c>
      <c r="H614" s="133" t="n">
        <f aca="false">G614*F614</f>
        <v>100000</v>
      </c>
      <c r="I614" s="146" t="n">
        <v>0</v>
      </c>
      <c r="J614" s="146" t="n">
        <f aca="false">H614+I614</f>
        <v>100000</v>
      </c>
    </row>
    <row r="615" s="249" customFormat="true" ht="15" hidden="false" customHeight="true" outlineLevel="0" collapsed="false">
      <c r="A615" s="237"/>
      <c r="B615" s="238"/>
      <c r="C615" s="279"/>
      <c r="D615" s="207" t="s">
        <v>176</v>
      </c>
      <c r="E615" s="280"/>
      <c r="F615" s="281"/>
      <c r="G615" s="282"/>
      <c r="H615" s="133"/>
      <c r="I615" s="283"/>
      <c r="J615" s="284"/>
    </row>
    <row r="616" s="25" customFormat="true" ht="15" hidden="false" customHeight="false" outlineLevel="0" collapsed="false">
      <c r="A616" s="7"/>
      <c r="B616" s="18"/>
      <c r="C616" s="115"/>
      <c r="D616" s="166" t="s">
        <v>177</v>
      </c>
      <c r="E616" s="160" t="s">
        <v>130</v>
      </c>
      <c r="F616" s="285" t="n">
        <v>0</v>
      </c>
      <c r="G616" s="133" t="n">
        <v>3</v>
      </c>
      <c r="H616" s="133" t="n">
        <f aca="false">+G616*F616</f>
        <v>0</v>
      </c>
      <c r="I616" s="146" t="n">
        <f aca="false">+H616*21%</f>
        <v>0</v>
      </c>
      <c r="J616" s="146" t="n">
        <f aca="false">H616+I616</f>
        <v>0</v>
      </c>
    </row>
    <row r="617" s="25" customFormat="true" ht="15" hidden="false" customHeight="false" outlineLevel="0" collapsed="false">
      <c r="A617" s="7"/>
      <c r="B617" s="18"/>
      <c r="C617" s="115"/>
      <c r="D617" s="26" t="s">
        <v>178</v>
      </c>
      <c r="E617" s="160" t="s">
        <v>130</v>
      </c>
      <c r="F617" s="285" t="n">
        <v>0</v>
      </c>
      <c r="G617" s="133" t="n">
        <v>3</v>
      </c>
      <c r="H617" s="133" t="n">
        <f aca="false">+G617*F617</f>
        <v>0</v>
      </c>
      <c r="I617" s="146" t="n">
        <f aca="false">+H617*21%</f>
        <v>0</v>
      </c>
      <c r="J617" s="146" t="n">
        <f aca="false">H617+I617</f>
        <v>0</v>
      </c>
    </row>
    <row r="618" s="25" customFormat="true" ht="15" hidden="false" customHeight="true" outlineLevel="0" collapsed="false">
      <c r="A618" s="7"/>
      <c r="B618" s="18"/>
      <c r="C618" s="115"/>
      <c r="D618" s="135" t="s">
        <v>179</v>
      </c>
      <c r="E618" s="187" t="s">
        <v>180</v>
      </c>
      <c r="F618" s="285" t="n">
        <v>80000</v>
      </c>
      <c r="G618" s="133" t="n">
        <v>1</v>
      </c>
      <c r="H618" s="133" t="n">
        <f aca="false">G618*F618</f>
        <v>80000</v>
      </c>
      <c r="I618" s="146" t="n">
        <f aca="false">+H618*21%</f>
        <v>16800</v>
      </c>
      <c r="J618" s="146" t="n">
        <f aca="false">H618+I618</f>
        <v>96800</v>
      </c>
    </row>
    <row r="619" s="94" customFormat="true" ht="15" hidden="false" customHeight="true" outlineLevel="0" collapsed="false">
      <c r="A619" s="85"/>
      <c r="B619" s="86"/>
      <c r="C619" s="140" t="n">
        <f aca="false">SUM(C613:C618)</f>
        <v>0</v>
      </c>
      <c r="D619" s="141"/>
      <c r="E619" s="142"/>
      <c r="F619" s="126" t="s">
        <v>181</v>
      </c>
      <c r="G619" s="126"/>
      <c r="H619" s="143" t="n">
        <f aca="false">SUM(H613:H618)</f>
        <v>660000</v>
      </c>
      <c r="I619" s="144" t="n">
        <f aca="false">SUM(I613:I618)</f>
        <v>117600</v>
      </c>
      <c r="J619" s="144" t="n">
        <f aca="false">SUM(J613:J618)</f>
        <v>777600</v>
      </c>
    </row>
    <row r="620" s="113" customFormat="true" ht="30" hidden="false" customHeight="true" outlineLevel="0" collapsed="false">
      <c r="A620" s="7"/>
      <c r="B620" s="18"/>
      <c r="C620" s="118"/>
      <c r="D620" s="109"/>
      <c r="E620" s="119"/>
      <c r="F620" s="120"/>
      <c r="G620" s="120"/>
      <c r="H620" s="121"/>
      <c r="I620" s="112"/>
      <c r="J620" s="112"/>
    </row>
    <row r="621" s="94" customFormat="true" ht="15" hidden="false" customHeight="true" outlineLevel="0" collapsed="false">
      <c r="A621" s="85"/>
      <c r="B621" s="122"/>
      <c r="C621" s="49" t="n">
        <v>9</v>
      </c>
      <c r="D621" s="123" t="s">
        <v>182</v>
      </c>
      <c r="E621" s="124" t="s">
        <v>26</v>
      </c>
      <c r="F621" s="125" t="s">
        <v>27</v>
      </c>
      <c r="G621" s="126" t="s">
        <v>28</v>
      </c>
      <c r="H621" s="127" t="s">
        <v>9</v>
      </c>
      <c r="I621" s="128" t="s">
        <v>10</v>
      </c>
      <c r="J621" s="128" t="s">
        <v>11</v>
      </c>
    </row>
    <row r="622" s="25" customFormat="true" ht="15" hidden="false" customHeight="true" outlineLevel="0" collapsed="false">
      <c r="A622" s="7"/>
      <c r="B622" s="18"/>
      <c r="C622" s="115"/>
      <c r="D622" s="135" t="s">
        <v>183</v>
      </c>
      <c r="E622" s="136" t="s">
        <v>184</v>
      </c>
      <c r="F622" s="285" t="n">
        <v>160000</v>
      </c>
      <c r="G622" s="133" t="n">
        <v>8</v>
      </c>
      <c r="H622" s="133" t="n">
        <f aca="false">F622*G622</f>
        <v>1280000</v>
      </c>
      <c r="I622" s="146" t="n">
        <f aca="false">H622*21%</f>
        <v>268800</v>
      </c>
      <c r="J622" s="146" t="n">
        <f aca="false">H622+I622</f>
        <v>1548800</v>
      </c>
    </row>
    <row r="623" s="25" customFormat="true" ht="15" hidden="false" customHeight="true" outlineLevel="0" collapsed="false">
      <c r="A623" s="7"/>
      <c r="B623" s="18"/>
      <c r="C623" s="115"/>
      <c r="D623" s="135" t="s">
        <v>167</v>
      </c>
      <c r="E623" s="136" t="s">
        <v>184</v>
      </c>
      <c r="F623" s="285" t="n">
        <v>500000</v>
      </c>
      <c r="G623" s="133" t="n">
        <v>8</v>
      </c>
      <c r="H623" s="133" t="n">
        <f aca="false">F623*G623</f>
        <v>4000000</v>
      </c>
      <c r="I623" s="146" t="n">
        <f aca="false">H623*21%</f>
        <v>840000</v>
      </c>
      <c r="J623" s="146" t="n">
        <f aca="false">H623+I623</f>
        <v>4840000</v>
      </c>
    </row>
    <row r="624" s="25" customFormat="true" ht="15" hidden="false" customHeight="true" outlineLevel="0" collapsed="false">
      <c r="A624" s="7"/>
      <c r="B624" s="18"/>
      <c r="C624" s="115"/>
      <c r="D624" s="139" t="s">
        <v>185</v>
      </c>
      <c r="E624" s="136" t="s">
        <v>184</v>
      </c>
      <c r="F624" s="285" t="n">
        <v>0</v>
      </c>
      <c r="G624" s="133" t="n">
        <v>8</v>
      </c>
      <c r="H624" s="133" t="n">
        <f aca="false">F624*G624</f>
        <v>0</v>
      </c>
      <c r="I624" s="146" t="n">
        <f aca="false">H624*21%</f>
        <v>0</v>
      </c>
      <c r="J624" s="146" t="n">
        <f aca="false">H624+I624</f>
        <v>0</v>
      </c>
    </row>
    <row r="625" s="25" customFormat="true" ht="15" hidden="false" customHeight="true" outlineLevel="0" collapsed="false">
      <c r="A625" s="7"/>
      <c r="B625" s="18"/>
      <c r="C625" s="115"/>
      <c r="D625" s="135" t="s">
        <v>186</v>
      </c>
      <c r="E625" s="136" t="s">
        <v>187</v>
      </c>
      <c r="F625" s="285" t="n">
        <v>85000</v>
      </c>
      <c r="G625" s="133" t="n">
        <v>8</v>
      </c>
      <c r="H625" s="133" t="n">
        <f aca="false">F625*G625</f>
        <v>680000</v>
      </c>
      <c r="I625" s="146" t="n">
        <v>0</v>
      </c>
      <c r="J625" s="146" t="n">
        <f aca="false">H625+I625</f>
        <v>680000</v>
      </c>
    </row>
    <row r="626" s="94" customFormat="true" ht="15" hidden="false" customHeight="true" outlineLevel="0" collapsed="false">
      <c r="A626" s="85"/>
      <c r="B626" s="86"/>
      <c r="C626" s="140" t="n">
        <f aca="false">SUM(C622:C623)</f>
        <v>0</v>
      </c>
      <c r="D626" s="141"/>
      <c r="E626" s="142"/>
      <c r="F626" s="291" t="s">
        <v>188</v>
      </c>
      <c r="G626" s="291"/>
      <c r="H626" s="292" t="n">
        <f aca="false">SUM(H622:H625)</f>
        <v>5960000</v>
      </c>
      <c r="I626" s="293" t="n">
        <f aca="false">SUM(I622:I625)</f>
        <v>1108800</v>
      </c>
      <c r="J626" s="293" t="n">
        <f aca="false">SUM(J622:J625)</f>
        <v>7068800</v>
      </c>
    </row>
    <row r="627" s="113" customFormat="true" ht="30" hidden="false" customHeight="true" outlineLevel="0" collapsed="false">
      <c r="A627" s="7"/>
      <c r="B627" s="18"/>
      <c r="C627" s="118"/>
      <c r="D627" s="109"/>
      <c r="E627" s="119"/>
      <c r="F627" s="120"/>
      <c r="G627" s="120"/>
      <c r="H627" s="121"/>
      <c r="I627" s="112"/>
      <c r="J627" s="112"/>
    </row>
    <row r="628" s="94" customFormat="true" ht="15" hidden="false" customHeight="true" outlineLevel="0" collapsed="false">
      <c r="A628" s="85"/>
      <c r="B628" s="122"/>
      <c r="C628" s="49" t="n">
        <v>10</v>
      </c>
      <c r="D628" s="123" t="s">
        <v>189</v>
      </c>
      <c r="E628" s="124" t="s">
        <v>26</v>
      </c>
      <c r="F628" s="125" t="s">
        <v>27</v>
      </c>
      <c r="G628" s="126" t="s">
        <v>28</v>
      </c>
      <c r="H628" s="127" t="s">
        <v>9</v>
      </c>
      <c r="I628" s="128" t="s">
        <v>10</v>
      </c>
      <c r="J628" s="128" t="s">
        <v>11</v>
      </c>
    </row>
    <row r="629" s="25" customFormat="true" ht="15" hidden="false" customHeight="true" outlineLevel="0" collapsed="false">
      <c r="A629" s="7"/>
      <c r="B629" s="18"/>
      <c r="C629" s="115"/>
      <c r="D629" s="272" t="s">
        <v>190</v>
      </c>
      <c r="E629" s="288" t="s">
        <v>30</v>
      </c>
      <c r="F629" s="274" t="n">
        <v>500000</v>
      </c>
      <c r="G629" s="275" t="n">
        <v>0</v>
      </c>
      <c r="H629" s="275" t="n">
        <f aca="false">F629*G629</f>
        <v>0</v>
      </c>
      <c r="I629" s="134" t="n">
        <f aca="false">H629*21%</f>
        <v>0</v>
      </c>
      <c r="J629" s="134" t="n">
        <f aca="false">H629+I629</f>
        <v>0</v>
      </c>
    </row>
    <row r="630" s="25" customFormat="true" ht="15" hidden="false" customHeight="true" outlineLevel="0" collapsed="false">
      <c r="A630" s="7"/>
      <c r="B630" s="18"/>
      <c r="C630" s="115"/>
      <c r="D630" s="135" t="s">
        <v>191</v>
      </c>
      <c r="E630" s="136" t="s">
        <v>30</v>
      </c>
      <c r="F630" s="285" t="n">
        <v>900000</v>
      </c>
      <c r="G630" s="133" t="n">
        <v>0</v>
      </c>
      <c r="H630" s="133" t="n">
        <f aca="false">F630*G630</f>
        <v>0</v>
      </c>
      <c r="I630" s="146" t="n">
        <f aca="false">H630*21%</f>
        <v>0</v>
      </c>
      <c r="J630" s="146" t="n">
        <f aca="false">H630+I630</f>
        <v>0</v>
      </c>
    </row>
    <row r="631" s="25" customFormat="true" ht="15" hidden="false" customHeight="true" outlineLevel="0" collapsed="false">
      <c r="A631" s="7"/>
      <c r="B631" s="18"/>
      <c r="C631" s="115"/>
      <c r="D631" s="135" t="s">
        <v>192</v>
      </c>
      <c r="E631" s="136" t="s">
        <v>30</v>
      </c>
      <c r="F631" s="285" t="n">
        <v>40000</v>
      </c>
      <c r="G631" s="133" t="n">
        <v>0</v>
      </c>
      <c r="H631" s="133" t="n">
        <f aca="false">F631*G631</f>
        <v>0</v>
      </c>
      <c r="I631" s="146" t="n">
        <f aca="false">H631*21%</f>
        <v>0</v>
      </c>
      <c r="J631" s="146" t="n">
        <f aca="false">H631+I631</f>
        <v>0</v>
      </c>
    </row>
    <row r="632" s="94" customFormat="true" ht="15" hidden="false" customHeight="true" outlineLevel="0" collapsed="false">
      <c r="A632" s="85"/>
      <c r="B632" s="86"/>
      <c r="C632" s="140" t="n">
        <f aca="false">SUM(C629:C630)</f>
        <v>0</v>
      </c>
      <c r="D632" s="141"/>
      <c r="E632" s="142"/>
      <c r="F632" s="126" t="s">
        <v>193</v>
      </c>
      <c r="G632" s="126"/>
      <c r="H632" s="143" t="n">
        <f aca="false">SUM(H629:H631)</f>
        <v>0</v>
      </c>
      <c r="I632" s="144" t="n">
        <f aca="false">SUM(I629:I631)</f>
        <v>0</v>
      </c>
      <c r="J632" s="144" t="n">
        <f aca="false">SUM(J629:J631)</f>
        <v>0</v>
      </c>
    </row>
    <row r="633" s="113" customFormat="true" ht="30" hidden="false" customHeight="true" outlineLevel="0" collapsed="false">
      <c r="A633" s="7"/>
      <c r="B633" s="18"/>
      <c r="C633" s="118"/>
      <c r="D633" s="109"/>
      <c r="E633" s="119"/>
      <c r="F633" s="120"/>
      <c r="G633" s="120"/>
      <c r="H633" s="121"/>
      <c r="I633" s="112"/>
      <c r="J633" s="112"/>
    </row>
    <row r="634" s="94" customFormat="true" ht="15" hidden="false" customHeight="true" outlineLevel="0" collapsed="false">
      <c r="A634" s="85"/>
      <c r="B634" s="122"/>
      <c r="C634" s="49" t="n">
        <v>11</v>
      </c>
      <c r="D634" s="123" t="s">
        <v>194</v>
      </c>
      <c r="E634" s="124" t="s">
        <v>26</v>
      </c>
      <c r="F634" s="125" t="s">
        <v>27</v>
      </c>
      <c r="G634" s="126" t="s">
        <v>28</v>
      </c>
      <c r="H634" s="127" t="s">
        <v>9</v>
      </c>
      <c r="I634" s="128" t="s">
        <v>10</v>
      </c>
      <c r="J634" s="128" t="s">
        <v>11</v>
      </c>
    </row>
    <row r="635" s="249" customFormat="true" ht="15" hidden="false" customHeight="true" outlineLevel="0" collapsed="false">
      <c r="A635" s="237"/>
      <c r="B635" s="238"/>
      <c r="C635" s="145"/>
      <c r="D635" s="207" t="s">
        <v>195</v>
      </c>
      <c r="E635" s="239"/>
      <c r="F635" s="240"/>
      <c r="G635" s="240"/>
      <c r="H635" s="241"/>
      <c r="I635" s="242"/>
      <c r="J635" s="243"/>
    </row>
    <row r="636" customFormat="false" ht="15" hidden="false" customHeight="true" outlineLevel="0" collapsed="false">
      <c r="A636" s="7"/>
      <c r="B636" s="18"/>
      <c r="C636" s="115"/>
      <c r="D636" s="26" t="s">
        <v>196</v>
      </c>
      <c r="E636" s="136" t="n">
        <v>4</v>
      </c>
      <c r="F636" s="275" t="n">
        <v>150000</v>
      </c>
      <c r="G636" s="133" t="n">
        <v>8</v>
      </c>
      <c r="H636" s="133" t="n">
        <f aca="false">+F636*E636*G636</f>
        <v>4800000</v>
      </c>
      <c r="I636" s="182" t="n">
        <f aca="false">H636*21%</f>
        <v>1008000</v>
      </c>
      <c r="J636" s="182" t="n">
        <f aca="false">+I636+H636</f>
        <v>5808000</v>
      </c>
    </row>
    <row r="637" customFormat="false" ht="15" hidden="false" customHeight="true" outlineLevel="0" collapsed="false">
      <c r="A637" s="7"/>
      <c r="B637" s="18"/>
      <c r="C637" s="115"/>
      <c r="D637" s="26" t="s">
        <v>197</v>
      </c>
      <c r="E637" s="136" t="n">
        <v>1</v>
      </c>
      <c r="F637" s="275" t="n">
        <v>100000</v>
      </c>
      <c r="G637" s="133" t="n">
        <v>8</v>
      </c>
      <c r="H637" s="133" t="n">
        <f aca="false">+F637*G637*E637</f>
        <v>800000</v>
      </c>
      <c r="I637" s="182" t="n">
        <v>0</v>
      </c>
      <c r="J637" s="182" t="n">
        <f aca="false">+I637+H637</f>
        <v>800000</v>
      </c>
    </row>
    <row r="638" customFormat="false" ht="15" hidden="false" customHeight="true" outlineLevel="0" collapsed="false">
      <c r="A638" s="7"/>
      <c r="B638" s="18"/>
      <c r="C638" s="115"/>
      <c r="D638" s="166" t="s">
        <v>198</v>
      </c>
      <c r="E638" s="136" t="n">
        <v>12</v>
      </c>
      <c r="F638" s="275" t="n">
        <v>30000</v>
      </c>
      <c r="G638" s="133" t="n">
        <v>10</v>
      </c>
      <c r="H638" s="133" t="n">
        <f aca="false">+F638*G638*E638</f>
        <v>3600000</v>
      </c>
      <c r="I638" s="182" t="n">
        <f aca="false">H638*21%</f>
        <v>756000</v>
      </c>
      <c r="J638" s="182" t="n">
        <f aca="false">+I638+H638</f>
        <v>4356000</v>
      </c>
    </row>
    <row r="639" customFormat="false" ht="15" hidden="false" customHeight="true" outlineLevel="0" collapsed="false">
      <c r="A639" s="7"/>
      <c r="B639" s="18"/>
      <c r="C639" s="115"/>
      <c r="D639" s="166" t="s">
        <v>199</v>
      </c>
      <c r="E639" s="136" t="n">
        <v>1</v>
      </c>
      <c r="F639" s="275" t="n">
        <v>50000</v>
      </c>
      <c r="G639" s="133" t="n">
        <v>8</v>
      </c>
      <c r="H639" s="133" t="n">
        <f aca="false">+F639*G639*E639</f>
        <v>400000</v>
      </c>
      <c r="I639" s="182" t="n">
        <v>0</v>
      </c>
      <c r="J639" s="182" t="n">
        <f aca="false">+I639+H639</f>
        <v>400000</v>
      </c>
    </row>
    <row r="640" customFormat="false" ht="15" hidden="false" customHeight="true" outlineLevel="0" collapsed="false">
      <c r="A640" s="7"/>
      <c r="B640" s="18"/>
      <c r="C640" s="115"/>
      <c r="D640" s="26" t="s">
        <v>200</v>
      </c>
      <c r="E640" s="173" t="n">
        <v>1</v>
      </c>
      <c r="F640" s="294" t="n">
        <v>13000</v>
      </c>
      <c r="G640" s="133" t="n">
        <v>8</v>
      </c>
      <c r="H640" s="295" t="n">
        <f aca="false">+F640*E640*G640</f>
        <v>104000</v>
      </c>
      <c r="I640" s="182" t="n">
        <f aca="false">H640*21%</f>
        <v>21840</v>
      </c>
      <c r="J640" s="182" t="n">
        <f aca="false">+I640+H640</f>
        <v>125840</v>
      </c>
    </row>
    <row r="641" s="249" customFormat="true" ht="15" hidden="false" customHeight="true" outlineLevel="0" collapsed="false">
      <c r="A641" s="237"/>
      <c r="B641" s="238"/>
      <c r="C641" s="279"/>
      <c r="D641" s="207" t="s">
        <v>201</v>
      </c>
      <c r="E641" s="280"/>
      <c r="F641" s="281"/>
      <c r="G641" s="282"/>
      <c r="H641" s="133"/>
      <c r="I641" s="296"/>
      <c r="J641" s="297"/>
      <c r="K641" s="298" t="s">
        <v>202</v>
      </c>
      <c r="L641" s="299" t="s">
        <v>203</v>
      </c>
      <c r="M641" s="299" t="s">
        <v>204</v>
      </c>
    </row>
    <row r="642" s="301" customFormat="true" ht="15" hidden="false" customHeight="true" outlineLevel="0" collapsed="false">
      <c r="A642" s="148"/>
      <c r="B642" s="149"/>
      <c r="C642" s="115"/>
      <c r="D642" s="166" t="s">
        <v>205</v>
      </c>
      <c r="E642" s="136" t="s">
        <v>30</v>
      </c>
      <c r="F642" s="294" t="n">
        <f aca="false">M642</f>
        <v>5232.5</v>
      </c>
      <c r="G642" s="146" t="n">
        <v>1</v>
      </c>
      <c r="H642" s="146" t="n">
        <f aca="false">F642*G642</f>
        <v>5232.5</v>
      </c>
      <c r="I642" s="252"/>
      <c r="J642" s="170"/>
      <c r="K642" s="289" t="n">
        <v>4025</v>
      </c>
      <c r="L642" s="300" t="n">
        <f aca="false">K642*30%</f>
        <v>1207.5</v>
      </c>
      <c r="M642" s="289" t="n">
        <f aca="false">K642+L642</f>
        <v>5232.5</v>
      </c>
    </row>
    <row r="643" s="301" customFormat="true" ht="15" hidden="false" customHeight="true" outlineLevel="0" collapsed="false">
      <c r="A643" s="148"/>
      <c r="B643" s="149"/>
      <c r="C643" s="115"/>
      <c r="D643" s="166" t="s">
        <v>206</v>
      </c>
      <c r="E643" s="136" t="s">
        <v>58</v>
      </c>
      <c r="F643" s="294" t="e">
        <f aca="false">M643</f>
        <v>#NAME?</v>
      </c>
      <c r="G643" s="146" t="n">
        <v>8</v>
      </c>
      <c r="H643" s="146" t="n">
        <f aca="false">F643*G643</f>
        <v>34216</v>
      </c>
      <c r="I643" s="252"/>
      <c r="J643" s="170"/>
      <c r="K643" s="302" t="n">
        <v>3290</v>
      </c>
      <c r="L643" s="300" t="e">
        <f aca="false">K643*30%</f>
        <v>#NAME?</v>
      </c>
      <c r="M643" s="289" t="e">
        <f aca="false">K643+L643</f>
        <v>#NAME?</v>
      </c>
    </row>
    <row r="644" s="301" customFormat="true" ht="15" hidden="false" customHeight="true" outlineLevel="0" collapsed="false">
      <c r="A644" s="148"/>
      <c r="B644" s="149"/>
      <c r="C644" s="115"/>
      <c r="D644" s="166" t="s">
        <v>207</v>
      </c>
      <c r="E644" s="136" t="s">
        <v>58</v>
      </c>
      <c r="F644" s="294" t="e">
        <f aca="false">M644</f>
        <v>#NAME?</v>
      </c>
      <c r="G644" s="146" t="n">
        <v>50</v>
      </c>
      <c r="H644" s="146" t="n">
        <f aca="false">F644*G644</f>
        <v>105300</v>
      </c>
      <c r="I644" s="252"/>
      <c r="J644" s="170"/>
      <c r="K644" s="289" t="n">
        <v>1620</v>
      </c>
      <c r="L644" s="300" t="e">
        <f aca="false">K644*30%</f>
        <v>#NAME?</v>
      </c>
      <c r="M644" s="289" t="e">
        <f aca="false">K644+L644</f>
        <v>#NAME?</v>
      </c>
    </row>
    <row r="645" s="301" customFormat="true" ht="15" hidden="false" customHeight="true" outlineLevel="0" collapsed="false">
      <c r="A645" s="148"/>
      <c r="B645" s="149"/>
      <c r="C645" s="115"/>
      <c r="D645" s="166" t="s">
        <v>208</v>
      </c>
      <c r="E645" s="136" t="s">
        <v>58</v>
      </c>
      <c r="F645" s="294" t="e">
        <f aca="false">M645</f>
        <v>#NAME?</v>
      </c>
      <c r="G645" s="146" t="n">
        <v>3</v>
      </c>
      <c r="H645" s="146" t="n">
        <f aca="false">F645*G645</f>
        <v>50622</v>
      </c>
      <c r="I645" s="252"/>
      <c r="J645" s="170"/>
      <c r="K645" s="289" t="n">
        <v>12980</v>
      </c>
      <c r="L645" s="300" t="e">
        <f aca="false">K645*30%</f>
        <v>#NAME?</v>
      </c>
      <c r="M645" s="289" t="e">
        <f aca="false">K645+L645</f>
        <v>#NAME?</v>
      </c>
    </row>
    <row r="646" s="301" customFormat="true" ht="15" hidden="false" customHeight="true" outlineLevel="0" collapsed="false">
      <c r="A646" s="148"/>
      <c r="B646" s="149"/>
      <c r="C646" s="115"/>
      <c r="D646" s="166" t="s">
        <v>209</v>
      </c>
      <c r="E646" s="136" t="s">
        <v>58</v>
      </c>
      <c r="F646" s="294" t="e">
        <f aca="false">M646</f>
        <v>#NAME?</v>
      </c>
      <c r="G646" s="146" t="n">
        <v>2</v>
      </c>
      <c r="H646" s="146" t="n">
        <f aca="false">F646*G646</f>
        <v>3848</v>
      </c>
      <c r="I646" s="252"/>
      <c r="J646" s="170"/>
      <c r="K646" s="289" t="n">
        <v>1480</v>
      </c>
      <c r="L646" s="300" t="e">
        <f aca="false">K646*30%</f>
        <v>#NAME?</v>
      </c>
      <c r="M646" s="289" t="e">
        <f aca="false">K646+L646</f>
        <v>#NAME?</v>
      </c>
    </row>
    <row r="647" s="301" customFormat="true" ht="15" hidden="false" customHeight="true" outlineLevel="0" collapsed="false">
      <c r="A647" s="148"/>
      <c r="B647" s="149"/>
      <c r="C647" s="115"/>
      <c r="D647" s="166" t="s">
        <v>210</v>
      </c>
      <c r="E647" s="136" t="s">
        <v>58</v>
      </c>
      <c r="F647" s="294" t="e">
        <f aca="false">M647</f>
        <v>#NAME?</v>
      </c>
      <c r="G647" s="146" t="n">
        <v>5</v>
      </c>
      <c r="H647" s="146" t="e">
        <f aca="false">F647*G647</f>
        <v>#NAME?</v>
      </c>
      <c r="I647" s="252"/>
      <c r="J647" s="170"/>
      <c r="K647" s="300" t="n">
        <v>17740</v>
      </c>
      <c r="L647" s="300" t="e">
        <f aca="false">K647*30%</f>
        <v>#NAME?</v>
      </c>
      <c r="M647" s="289" t="e">
        <f aca="false">K647+L647</f>
        <v>#NAME?</v>
      </c>
    </row>
    <row r="648" s="301" customFormat="true" ht="15" hidden="false" customHeight="true" outlineLevel="0" collapsed="false">
      <c r="A648" s="148"/>
      <c r="B648" s="149"/>
      <c r="C648" s="115"/>
      <c r="D648" s="166" t="s">
        <v>211</v>
      </c>
      <c r="E648" s="136" t="s">
        <v>212</v>
      </c>
      <c r="F648" s="294" t="e">
        <f aca="false">M648</f>
        <v>#NAME?</v>
      </c>
      <c r="G648" s="146" t="n">
        <v>8</v>
      </c>
      <c r="H648" s="146" t="e">
        <f aca="false">F648*G648</f>
        <v>#NAME?</v>
      </c>
      <c r="I648" s="303"/>
      <c r="J648" s="170"/>
      <c r="K648" s="300" t="n">
        <v>3270</v>
      </c>
      <c r="L648" s="300" t="e">
        <f aca="false">K648*30%</f>
        <v>#NAME?</v>
      </c>
      <c r="M648" s="289" t="e">
        <f aca="false">K648+L648</f>
        <v>#NAME?</v>
      </c>
    </row>
    <row r="649" s="301" customFormat="true" ht="15" hidden="false" customHeight="true" outlineLevel="0" collapsed="false">
      <c r="A649" s="148"/>
      <c r="B649" s="149"/>
      <c r="C649" s="115"/>
      <c r="D649" s="166" t="s">
        <v>213</v>
      </c>
      <c r="E649" s="136" t="s">
        <v>212</v>
      </c>
      <c r="F649" s="294" t="e">
        <f aca="false">M649</f>
        <v>#NAME?</v>
      </c>
      <c r="G649" s="146" t="n">
        <v>66</v>
      </c>
      <c r="H649" s="146" t="n">
        <f aca="false">+F649*G649</f>
        <v>65208</v>
      </c>
      <c r="I649" s="253"/>
      <c r="J649" s="254"/>
      <c r="K649" s="300" t="n">
        <v>760</v>
      </c>
      <c r="L649" s="300" t="e">
        <f aca="false">K649*30%</f>
        <v>#NAME?</v>
      </c>
      <c r="M649" s="289" t="e">
        <f aca="false">K649+L649</f>
        <v>#NAME?</v>
      </c>
    </row>
    <row r="650" s="301" customFormat="true" ht="15" hidden="false" customHeight="true" outlineLevel="0" collapsed="false">
      <c r="A650" s="148"/>
      <c r="B650" s="149"/>
      <c r="C650" s="115"/>
      <c r="D650" s="166" t="s">
        <v>214</v>
      </c>
      <c r="E650" s="136" t="s">
        <v>215</v>
      </c>
      <c r="F650" s="294" t="e">
        <f aca="false">M650</f>
        <v>#NAME?</v>
      </c>
      <c r="G650" s="146" t="n">
        <f aca="false">SUM(G642:G649)</f>
        <v>143</v>
      </c>
      <c r="H650" s="146" t="e">
        <f aca="false">F650*G650</f>
        <v>#NAME?</v>
      </c>
      <c r="I650" s="182" t="n">
        <v>0</v>
      </c>
      <c r="J650" s="182" t="n">
        <f aca="false">SUM(H642:H650)</f>
        <v>445347.5</v>
      </c>
      <c r="K650" s="300" t="n">
        <v>170</v>
      </c>
      <c r="L650" s="300" t="e">
        <f aca="false">K650*30%</f>
        <v>#NAME?</v>
      </c>
      <c r="M650" s="289" t="e">
        <f aca="false">K650+L650</f>
        <v>#NAME?</v>
      </c>
    </row>
    <row r="651" s="249" customFormat="true" ht="15" hidden="false" customHeight="true" outlineLevel="0" collapsed="false">
      <c r="A651" s="237"/>
      <c r="B651" s="238"/>
      <c r="C651" s="279"/>
      <c r="D651" s="159" t="s">
        <v>216</v>
      </c>
      <c r="E651" s="280"/>
      <c r="F651" s="281"/>
      <c r="G651" s="282"/>
      <c r="H651" s="133"/>
      <c r="I651" s="296"/>
      <c r="J651" s="297"/>
    </row>
    <row r="652" s="156" customFormat="true" ht="15" hidden="false" customHeight="true" outlineLevel="0" collapsed="false">
      <c r="A652" s="148"/>
      <c r="B652" s="149"/>
      <c r="C652" s="115"/>
      <c r="D652" s="166" t="s">
        <v>217</v>
      </c>
      <c r="E652" s="136" t="s">
        <v>61</v>
      </c>
      <c r="F652" s="294" t="n">
        <v>60000</v>
      </c>
      <c r="G652" s="304" t="n">
        <v>5.5</v>
      </c>
      <c r="H652" s="146" t="n">
        <f aca="false">F652*G652</f>
        <v>330000</v>
      </c>
      <c r="I652" s="182" t="n">
        <v>0</v>
      </c>
      <c r="J652" s="182" t="n">
        <f aca="false">+I652+H652</f>
        <v>330000</v>
      </c>
    </row>
    <row r="653" s="156" customFormat="true" ht="15" hidden="false" customHeight="true" outlineLevel="0" collapsed="false">
      <c r="A653" s="148"/>
      <c r="B653" s="149"/>
      <c r="C653" s="115"/>
      <c r="D653" s="26" t="s">
        <v>218</v>
      </c>
      <c r="E653" s="136" t="s">
        <v>187</v>
      </c>
      <c r="F653" s="294" t="n">
        <v>5500</v>
      </c>
      <c r="G653" s="146" t="n">
        <f aca="false">G652*4</f>
        <v>22</v>
      </c>
      <c r="H653" s="146" t="n">
        <f aca="false">F653*G653</f>
        <v>121000</v>
      </c>
      <c r="I653" s="182" t="n">
        <f aca="false">+H653*21%</f>
        <v>25410</v>
      </c>
      <c r="J653" s="182" t="n">
        <f aca="false">+I653+H653</f>
        <v>146410</v>
      </c>
    </row>
    <row r="654" s="156" customFormat="true" ht="15" hidden="false" customHeight="true" outlineLevel="0" collapsed="false">
      <c r="A654" s="148"/>
      <c r="B654" s="149"/>
      <c r="C654" s="115"/>
      <c r="D654" s="305" t="s">
        <v>219</v>
      </c>
      <c r="E654" s="288" t="s">
        <v>187</v>
      </c>
      <c r="F654" s="306" t="n">
        <v>10000</v>
      </c>
      <c r="G654" s="134" t="n">
        <f aca="false">G653</f>
        <v>22</v>
      </c>
      <c r="H654" s="134" t="n">
        <f aca="false">F654*G654</f>
        <v>220000</v>
      </c>
      <c r="I654" s="289"/>
      <c r="J654" s="289" t="n">
        <f aca="false">+I654+H654</f>
        <v>220000</v>
      </c>
    </row>
    <row r="655" s="94" customFormat="true" ht="15" hidden="false" customHeight="true" outlineLevel="0" collapsed="false">
      <c r="A655" s="85"/>
      <c r="B655" s="86"/>
      <c r="C655" s="192" t="n">
        <f aca="false">SUM(C635:C654)</f>
        <v>0</v>
      </c>
      <c r="D655" s="141"/>
      <c r="E655" s="142"/>
      <c r="F655" s="126" t="s">
        <v>220</v>
      </c>
      <c r="G655" s="126"/>
      <c r="H655" s="143" t="n">
        <f aca="false">SUM(H636:H654)</f>
        <v>10820347.5</v>
      </c>
      <c r="I655" s="144" t="n">
        <f aca="false">SUM(I636:I654)</f>
        <v>1811250</v>
      </c>
      <c r="J655" s="144" t="n">
        <f aca="false">SUM(J635:J654)</f>
        <v>12631597.5</v>
      </c>
    </row>
    <row r="656" s="113" customFormat="true" ht="30" hidden="false" customHeight="true" outlineLevel="0" collapsed="false">
      <c r="A656" s="7"/>
      <c r="B656" s="18"/>
      <c r="C656" s="118"/>
      <c r="D656" s="109"/>
      <c r="E656" s="119"/>
      <c r="F656" s="120"/>
      <c r="G656" s="120"/>
      <c r="H656" s="121"/>
      <c r="I656" s="112"/>
      <c r="J656" s="112"/>
    </row>
    <row r="657" s="94" customFormat="true" ht="15" hidden="false" customHeight="true" outlineLevel="0" collapsed="false">
      <c r="A657" s="85"/>
      <c r="B657" s="122"/>
      <c r="C657" s="49" t="n">
        <v>12</v>
      </c>
      <c r="D657" s="123" t="s">
        <v>221</v>
      </c>
      <c r="E657" s="124" t="s">
        <v>26</v>
      </c>
      <c r="F657" s="125" t="s">
        <v>27</v>
      </c>
      <c r="G657" s="126" t="s">
        <v>28</v>
      </c>
      <c r="H657" s="127" t="s">
        <v>9</v>
      </c>
      <c r="I657" s="128" t="s">
        <v>10</v>
      </c>
      <c r="J657" s="128" t="s">
        <v>11</v>
      </c>
    </row>
    <row r="658" customFormat="false" ht="15" hidden="false" customHeight="true" outlineLevel="0" collapsed="false">
      <c r="A658" s="7"/>
      <c r="B658" s="307"/>
      <c r="C658" s="115"/>
      <c r="D658" s="135" t="s">
        <v>222</v>
      </c>
      <c r="E658" s="136" t="s">
        <v>30</v>
      </c>
      <c r="F658" s="308" t="n">
        <v>100000</v>
      </c>
      <c r="G658" s="309" t="n">
        <v>1</v>
      </c>
      <c r="H658" s="168" t="n">
        <f aca="false">F658*G658</f>
        <v>100000</v>
      </c>
      <c r="I658" s="310" t="n">
        <f aca="false">+H658*21%</f>
        <v>21000</v>
      </c>
      <c r="J658" s="310" t="n">
        <f aca="false">H658</f>
        <v>100000</v>
      </c>
    </row>
    <row r="659" customFormat="false" ht="15" hidden="false" customHeight="true" outlineLevel="0" collapsed="false">
      <c r="A659" s="7"/>
      <c r="B659" s="307"/>
      <c r="C659" s="115"/>
      <c r="D659" s="135" t="s">
        <v>216</v>
      </c>
      <c r="E659" s="136" t="s">
        <v>30</v>
      </c>
      <c r="F659" s="308" t="n">
        <v>0</v>
      </c>
      <c r="G659" s="309" t="n">
        <v>1</v>
      </c>
      <c r="H659" s="168" t="n">
        <f aca="false">F659*G659</f>
        <v>0</v>
      </c>
      <c r="I659" s="310" t="n">
        <v>0</v>
      </c>
      <c r="J659" s="310" t="n">
        <f aca="false">H659</f>
        <v>0</v>
      </c>
    </row>
    <row r="660" s="94" customFormat="true" ht="15" hidden="false" customHeight="true" outlineLevel="0" collapsed="false">
      <c r="A660" s="85"/>
      <c r="B660" s="86"/>
      <c r="C660" s="140" t="n">
        <f aca="false">SUM(C658:C659)</f>
        <v>0</v>
      </c>
      <c r="D660" s="141"/>
      <c r="E660" s="142"/>
      <c r="F660" s="126" t="s">
        <v>223</v>
      </c>
      <c r="G660" s="126"/>
      <c r="H660" s="143" t="n">
        <f aca="false">SUM(H658:H659)</f>
        <v>100000</v>
      </c>
      <c r="I660" s="144" t="n">
        <f aca="false">SUM(I658:I659)</f>
        <v>21000</v>
      </c>
      <c r="J660" s="144" t="n">
        <f aca="false">SUM(J658:J659)</f>
        <v>100000</v>
      </c>
    </row>
    <row r="661" s="113" customFormat="true" ht="30" hidden="false" customHeight="true" outlineLevel="0" collapsed="false">
      <c r="A661" s="7"/>
      <c r="B661" s="18"/>
      <c r="C661" s="118"/>
      <c r="D661" s="109"/>
      <c r="E661" s="119"/>
      <c r="F661" s="120"/>
      <c r="G661" s="120"/>
      <c r="H661" s="121"/>
      <c r="I661" s="112"/>
      <c r="J661" s="112"/>
    </row>
    <row r="662" s="94" customFormat="true" ht="15" hidden="false" customHeight="true" outlineLevel="0" collapsed="false">
      <c r="A662" s="85"/>
      <c r="B662" s="122"/>
      <c r="C662" s="49" t="n">
        <v>13</v>
      </c>
      <c r="D662" s="123" t="s">
        <v>224</v>
      </c>
      <c r="E662" s="124" t="s">
        <v>26</v>
      </c>
      <c r="F662" s="125" t="s">
        <v>27</v>
      </c>
      <c r="G662" s="126" t="s">
        <v>28</v>
      </c>
      <c r="H662" s="127" t="s">
        <v>9</v>
      </c>
      <c r="I662" s="128" t="s">
        <v>10</v>
      </c>
      <c r="J662" s="128" t="s">
        <v>11</v>
      </c>
    </row>
    <row r="663" customFormat="false" ht="15" hidden="false" customHeight="true" outlineLevel="0" collapsed="false">
      <c r="A663" s="7"/>
      <c r="B663" s="59"/>
      <c r="C663" s="115"/>
      <c r="D663" s="311" t="s">
        <v>225</v>
      </c>
      <c r="E663" s="288" t="s">
        <v>30</v>
      </c>
      <c r="F663" s="275" t="n">
        <v>3800000</v>
      </c>
      <c r="G663" s="312" t="n">
        <v>1</v>
      </c>
      <c r="H663" s="312" t="n">
        <f aca="false">+F663*G663</f>
        <v>3800000</v>
      </c>
      <c r="I663" s="289" t="n">
        <v>0</v>
      </c>
      <c r="J663" s="289" t="n">
        <f aca="false">H663+I663</f>
        <v>3800000</v>
      </c>
    </row>
    <row r="664" customFormat="false" ht="15" hidden="false" customHeight="true" outlineLevel="0" collapsed="false">
      <c r="A664" s="7"/>
      <c r="B664" s="59"/>
      <c r="C664" s="115"/>
      <c r="D664" s="313" t="s">
        <v>226</v>
      </c>
      <c r="E664" s="136"/>
      <c r="F664" s="133"/>
      <c r="G664" s="314"/>
      <c r="H664" s="314"/>
      <c r="I664" s="182"/>
      <c r="J664" s="182"/>
    </row>
    <row r="665" customFormat="false" ht="15" hidden="false" customHeight="true" outlineLevel="0" collapsed="false">
      <c r="A665" s="7"/>
      <c r="B665" s="59"/>
      <c r="C665" s="115"/>
      <c r="D665" s="311" t="s">
        <v>227</v>
      </c>
      <c r="E665" s="288" t="s">
        <v>30</v>
      </c>
      <c r="F665" s="275" t="n">
        <v>0</v>
      </c>
      <c r="G665" s="312" t="n">
        <v>1</v>
      </c>
      <c r="H665" s="312" t="n">
        <f aca="false">+F665*G665</f>
        <v>0</v>
      </c>
      <c r="I665" s="289" t="n">
        <v>0</v>
      </c>
      <c r="J665" s="289" t="n">
        <f aca="false">H665+I665</f>
        <v>0</v>
      </c>
    </row>
    <row r="666" customFormat="false" ht="15" hidden="false" customHeight="true" outlineLevel="0" collapsed="false">
      <c r="A666" s="7"/>
      <c r="B666" s="59"/>
      <c r="C666" s="115"/>
      <c r="D666" s="135"/>
      <c r="E666" s="136"/>
      <c r="F666" s="133"/>
      <c r="G666" s="314"/>
      <c r="H666" s="314"/>
      <c r="I666" s="182"/>
      <c r="J666" s="182"/>
    </row>
    <row r="667" customFormat="false" ht="15" hidden="false" customHeight="true" outlineLevel="0" collapsed="false">
      <c r="A667" s="7"/>
      <c r="B667" s="59"/>
      <c r="C667" s="115"/>
      <c r="D667" s="135" t="s">
        <v>228</v>
      </c>
      <c r="E667" s="136" t="s">
        <v>30</v>
      </c>
      <c r="F667" s="133" t="n">
        <v>0</v>
      </c>
      <c r="G667" s="314" t="n">
        <v>1</v>
      </c>
      <c r="H667" s="314" t="n">
        <f aca="false">+F667*G667</f>
        <v>0</v>
      </c>
      <c r="I667" s="182" t="n">
        <v>0</v>
      </c>
      <c r="J667" s="182" t="n">
        <f aca="false">H667+I667</f>
        <v>0</v>
      </c>
    </row>
    <row r="668" s="94" customFormat="true" ht="15" hidden="false" customHeight="true" outlineLevel="0" collapsed="false">
      <c r="A668" s="85"/>
      <c r="B668" s="86"/>
      <c r="C668" s="140" t="n">
        <f aca="false">SUM(C663:C667)</f>
        <v>0</v>
      </c>
      <c r="D668" s="141"/>
      <c r="E668" s="142"/>
      <c r="F668" s="126" t="s">
        <v>229</v>
      </c>
      <c r="G668" s="126"/>
      <c r="H668" s="143" t="n">
        <f aca="false">SUM(H663:H667)</f>
        <v>3800000</v>
      </c>
      <c r="I668" s="144" t="n">
        <f aca="false">SUM(I663:I667)</f>
        <v>0</v>
      </c>
      <c r="J668" s="144" t="n">
        <f aca="false">SUM(J663:J667)</f>
        <v>3800000</v>
      </c>
    </row>
    <row r="669" s="113" customFormat="true" ht="30" hidden="false" customHeight="true" outlineLevel="0" collapsed="false">
      <c r="A669" s="7"/>
      <c r="B669" s="18"/>
      <c r="C669" s="118"/>
      <c r="D669" s="109"/>
      <c r="E669" s="119"/>
      <c r="F669" s="120"/>
      <c r="G669" s="120"/>
      <c r="H669" s="121"/>
      <c r="I669" s="112"/>
      <c r="J669" s="112"/>
    </row>
    <row r="670" s="94" customFormat="true" ht="15" hidden="false" customHeight="true" outlineLevel="0" collapsed="false">
      <c r="A670" s="85"/>
      <c r="B670" s="122"/>
      <c r="C670" s="49" t="n">
        <v>14</v>
      </c>
      <c r="D670" s="123" t="s">
        <v>230</v>
      </c>
      <c r="E670" s="124" t="s">
        <v>26</v>
      </c>
      <c r="F670" s="125" t="s">
        <v>27</v>
      </c>
      <c r="G670" s="126" t="s">
        <v>28</v>
      </c>
      <c r="H670" s="127" t="s">
        <v>9</v>
      </c>
      <c r="I670" s="128" t="s">
        <v>10</v>
      </c>
      <c r="J670" s="128" t="s">
        <v>11</v>
      </c>
    </row>
    <row r="671" s="318" customFormat="true" ht="15" hidden="false" customHeight="true" outlineLevel="0" collapsed="false">
      <c r="A671" s="148"/>
      <c r="B671" s="165"/>
      <c r="C671" s="115"/>
      <c r="D671" s="159" t="s">
        <v>231</v>
      </c>
      <c r="E671" s="315"/>
      <c r="F671" s="316"/>
      <c r="G671" s="317"/>
      <c r="H671" s="153"/>
      <c r="I671" s="296"/>
      <c r="J671" s="297"/>
    </row>
    <row r="672" s="156" customFormat="true" ht="15" hidden="false" customHeight="true" outlineLevel="0" collapsed="false">
      <c r="A672" s="148"/>
      <c r="B672" s="149"/>
      <c r="C672" s="115"/>
      <c r="D672" s="166" t="s">
        <v>232</v>
      </c>
      <c r="E672" s="136"/>
      <c r="F672" s="285" t="n">
        <v>334000</v>
      </c>
      <c r="G672" s="146" t="n">
        <v>6</v>
      </c>
      <c r="H672" s="146" t="n">
        <f aca="false">+F672*G672</f>
        <v>2004000</v>
      </c>
      <c r="I672" s="182" t="n">
        <f aca="false">+H672*21%</f>
        <v>420840</v>
      </c>
      <c r="J672" s="182" t="n">
        <f aca="false">H672+I672</f>
        <v>2424840</v>
      </c>
    </row>
    <row r="673" s="156" customFormat="true" ht="15" hidden="false" customHeight="true" outlineLevel="0" collapsed="false">
      <c r="A673" s="148"/>
      <c r="B673" s="149"/>
      <c r="C673" s="115"/>
      <c r="D673" s="166" t="s">
        <v>233</v>
      </c>
      <c r="E673" s="173" t="n">
        <v>1</v>
      </c>
      <c r="F673" s="285" t="n">
        <v>1725000</v>
      </c>
      <c r="G673" s="146" t="n">
        <v>4</v>
      </c>
      <c r="H673" s="146" t="n">
        <f aca="false">+F673*G673</f>
        <v>6900000</v>
      </c>
      <c r="I673" s="182" t="n">
        <f aca="false">+H673*21%</f>
        <v>1449000</v>
      </c>
      <c r="J673" s="182" t="n">
        <f aca="false">H673+I673</f>
        <v>8349000</v>
      </c>
    </row>
    <row r="674" s="156" customFormat="true" ht="15" hidden="false" customHeight="true" outlineLevel="0" collapsed="false">
      <c r="A674" s="148"/>
      <c r="B674" s="149"/>
      <c r="C674" s="115"/>
      <c r="D674" s="166" t="s">
        <v>234</v>
      </c>
      <c r="E674" s="173" t="n">
        <f aca="false">E673</f>
        <v>1</v>
      </c>
      <c r="F674" s="285" t="n">
        <v>445248</v>
      </c>
      <c r="G674" s="146" t="n">
        <v>3</v>
      </c>
      <c r="H674" s="319" t="n">
        <f aca="false">+F674*G674</f>
        <v>1335744</v>
      </c>
      <c r="I674" s="182" t="n">
        <f aca="false">+H674*21%</f>
        <v>280506.24</v>
      </c>
      <c r="J674" s="182" t="n">
        <f aca="false">H674+I674</f>
        <v>1616250.24</v>
      </c>
    </row>
    <row r="675" s="318" customFormat="true" ht="15" hidden="false" customHeight="true" outlineLevel="0" collapsed="false">
      <c r="A675" s="148"/>
      <c r="B675" s="165"/>
      <c r="C675" s="115"/>
      <c r="D675" s="135" t="s">
        <v>235</v>
      </c>
      <c r="E675" s="136" t="s">
        <v>30</v>
      </c>
      <c r="F675" s="146" t="n">
        <v>0</v>
      </c>
      <c r="G675" s="319" t="n">
        <v>0</v>
      </c>
      <c r="H675" s="319" t="n">
        <f aca="false">+F675*G675</f>
        <v>0</v>
      </c>
      <c r="I675" s="182" t="n">
        <f aca="false">+H675*21%</f>
        <v>0</v>
      </c>
      <c r="J675" s="182" t="n">
        <f aca="false">H675+I675</f>
        <v>0</v>
      </c>
    </row>
    <row r="676" s="94" customFormat="true" ht="15" hidden="false" customHeight="true" outlineLevel="0" collapsed="false">
      <c r="A676" s="85"/>
      <c r="B676" s="86"/>
      <c r="C676" s="140" t="n">
        <f aca="false">SUM(C671:C675)</f>
        <v>0</v>
      </c>
      <c r="D676" s="141"/>
      <c r="E676" s="142"/>
      <c r="F676" s="126" t="s">
        <v>236</v>
      </c>
      <c r="G676" s="126"/>
      <c r="H676" s="143" t="n">
        <f aca="false">SUM(H672:H675)</f>
        <v>10239744</v>
      </c>
      <c r="I676" s="144" t="n">
        <f aca="false">SUM(I672:I675)</f>
        <v>2150346.24</v>
      </c>
      <c r="J676" s="144" t="n">
        <f aca="false">SUM(J672:J675)</f>
        <v>12390090.24</v>
      </c>
    </row>
    <row r="677" s="113" customFormat="true" ht="30" hidden="false" customHeight="true" outlineLevel="0" collapsed="false">
      <c r="A677" s="7"/>
      <c r="B677" s="18"/>
      <c r="C677" s="118"/>
      <c r="D677" s="109"/>
      <c r="E677" s="119"/>
      <c r="F677" s="120"/>
      <c r="G677" s="120"/>
      <c r="H677" s="121"/>
      <c r="I677" s="112"/>
      <c r="J677" s="112"/>
    </row>
    <row r="678" s="94" customFormat="true" ht="15" hidden="false" customHeight="true" outlineLevel="0" collapsed="false">
      <c r="A678" s="85"/>
      <c r="B678" s="122"/>
      <c r="C678" s="49" t="n">
        <v>15</v>
      </c>
      <c r="D678" s="123" t="s">
        <v>237</v>
      </c>
      <c r="E678" s="124" t="s">
        <v>26</v>
      </c>
      <c r="F678" s="125" t="s">
        <v>27</v>
      </c>
      <c r="G678" s="126" t="s">
        <v>28</v>
      </c>
      <c r="H678" s="127" t="s">
        <v>9</v>
      </c>
      <c r="I678" s="128" t="s">
        <v>10</v>
      </c>
      <c r="J678" s="128" t="s">
        <v>11</v>
      </c>
    </row>
    <row r="679" s="318" customFormat="true" ht="15" hidden="false" customHeight="true" outlineLevel="0" collapsed="false">
      <c r="A679" s="148"/>
      <c r="B679" s="165"/>
      <c r="C679" s="115"/>
      <c r="D679" s="320" t="s">
        <v>238</v>
      </c>
      <c r="E679" s="315"/>
      <c r="F679" s="316"/>
      <c r="G679" s="317"/>
      <c r="H679" s="153"/>
      <c r="I679" s="296"/>
      <c r="J679" s="297"/>
    </row>
    <row r="680" s="318" customFormat="true" ht="15" hidden="false" customHeight="true" outlineLevel="0" collapsed="false">
      <c r="A680" s="148"/>
      <c r="B680" s="165"/>
      <c r="C680" s="115"/>
      <c r="D680" s="321" t="s">
        <v>239</v>
      </c>
      <c r="E680" s="315"/>
      <c r="F680" s="153"/>
      <c r="G680" s="317"/>
      <c r="H680" s="322"/>
      <c r="I680" s="252"/>
      <c r="J680" s="170"/>
    </row>
    <row r="681" s="318" customFormat="true" ht="15" hidden="false" customHeight="true" outlineLevel="0" collapsed="false">
      <c r="A681" s="148"/>
      <c r="B681" s="165"/>
      <c r="C681" s="115"/>
      <c r="D681" s="321" t="s">
        <v>240</v>
      </c>
      <c r="E681" s="315"/>
      <c r="F681" s="153"/>
      <c r="G681" s="317"/>
      <c r="H681" s="322"/>
      <c r="I681" s="252"/>
      <c r="J681" s="170"/>
    </row>
    <row r="682" s="318" customFormat="true" ht="15" hidden="false" customHeight="true" outlineLevel="0" collapsed="false">
      <c r="A682" s="148"/>
      <c r="B682" s="165"/>
      <c r="C682" s="115"/>
      <c r="D682" s="323"/>
      <c r="E682" s="160" t="s">
        <v>130</v>
      </c>
      <c r="F682" s="146" t="n">
        <f aca="false">(720*103)*20</f>
        <v>1483200</v>
      </c>
      <c r="G682" s="146" t="n">
        <v>1</v>
      </c>
      <c r="H682" s="146" t="n">
        <f aca="false">+F682*G682</f>
        <v>1483200</v>
      </c>
      <c r="I682" s="182" t="n">
        <f aca="false">H682*21%</f>
        <v>311472</v>
      </c>
      <c r="J682" s="182" t="n">
        <f aca="false">H682+I682</f>
        <v>1794672</v>
      </c>
    </row>
    <row r="683" s="318" customFormat="true" ht="15" hidden="false" customHeight="true" outlineLevel="0" collapsed="false">
      <c r="A683" s="148"/>
      <c r="B683" s="165"/>
      <c r="C683" s="115"/>
      <c r="D683" s="159" t="s">
        <v>241</v>
      </c>
      <c r="E683" s="315"/>
      <c r="F683" s="316"/>
      <c r="G683" s="317"/>
      <c r="H683" s="153"/>
      <c r="I683" s="296"/>
      <c r="J683" s="297"/>
    </row>
    <row r="684" s="318" customFormat="true" ht="15" hidden="false" customHeight="true" outlineLevel="0" collapsed="false">
      <c r="A684" s="148"/>
      <c r="B684" s="165"/>
      <c r="C684" s="115"/>
      <c r="D684" s="324" t="s">
        <v>242</v>
      </c>
      <c r="E684" s="187" t="s">
        <v>66</v>
      </c>
      <c r="F684" s="146" t="n">
        <v>300000</v>
      </c>
      <c r="G684" s="146" t="n">
        <v>1</v>
      </c>
      <c r="H684" s="146" t="n">
        <f aca="false">+F684*G684</f>
        <v>300000</v>
      </c>
      <c r="I684" s="182" t="n">
        <f aca="false">H684*21%</f>
        <v>63000</v>
      </c>
      <c r="J684" s="182" t="n">
        <f aca="false">H684+I684</f>
        <v>363000</v>
      </c>
    </row>
    <row r="685" s="318" customFormat="true" ht="15" hidden="false" customHeight="true" outlineLevel="0" collapsed="false">
      <c r="A685" s="148"/>
      <c r="B685" s="165"/>
      <c r="C685" s="115"/>
      <c r="D685" s="159" t="s">
        <v>243</v>
      </c>
      <c r="E685" s="315"/>
      <c r="F685" s="316"/>
      <c r="G685" s="317"/>
      <c r="H685" s="153"/>
      <c r="I685" s="296"/>
      <c r="J685" s="297"/>
    </row>
    <row r="686" s="318" customFormat="true" ht="15" hidden="false" customHeight="true" outlineLevel="0" collapsed="false">
      <c r="A686" s="148"/>
      <c r="B686" s="165"/>
      <c r="C686" s="115"/>
      <c r="D686" s="324" t="s">
        <v>244</v>
      </c>
      <c r="E686" s="160" t="s">
        <v>245</v>
      </c>
      <c r="F686" s="146" t="n">
        <f aca="false">1000*103</f>
        <v>103000</v>
      </c>
      <c r="G686" s="146" t="n">
        <v>20</v>
      </c>
      <c r="H686" s="146" t="n">
        <f aca="false">+F686*G686</f>
        <v>2060000</v>
      </c>
      <c r="I686" s="182" t="n">
        <f aca="false">H686*21%</f>
        <v>432600</v>
      </c>
      <c r="J686" s="182" t="n">
        <f aca="false">H686+I686</f>
        <v>2492600</v>
      </c>
    </row>
    <row r="687" s="94" customFormat="true" ht="15" hidden="false" customHeight="true" outlineLevel="0" collapsed="false">
      <c r="A687" s="85"/>
      <c r="B687" s="86"/>
      <c r="C687" s="140" t="n">
        <f aca="false">SUM(C682:C686)</f>
        <v>0</v>
      </c>
      <c r="D687" s="141"/>
      <c r="E687" s="142"/>
      <c r="F687" s="126" t="s">
        <v>246</v>
      </c>
      <c r="G687" s="126"/>
      <c r="H687" s="143" t="n">
        <f aca="false">SUM(H682:H686)</f>
        <v>3843200</v>
      </c>
      <c r="I687" s="144" t="n">
        <f aca="false">SUM(I679:I686)</f>
        <v>807072</v>
      </c>
      <c r="J687" s="144" t="n">
        <f aca="false">SUM(J679:J686)</f>
        <v>4650272</v>
      </c>
    </row>
    <row r="688" s="113" customFormat="true" ht="30" hidden="false" customHeight="true" outlineLevel="0" collapsed="false">
      <c r="A688" s="7"/>
      <c r="B688" s="18"/>
      <c r="C688" s="42"/>
      <c r="D688" s="109"/>
      <c r="E688" s="119"/>
      <c r="F688" s="120"/>
      <c r="G688" s="120"/>
      <c r="H688" s="121"/>
      <c r="I688" s="112"/>
      <c r="J688" s="112"/>
    </row>
    <row r="689" s="94" customFormat="true" ht="15" hidden="false" customHeight="true" outlineLevel="0" collapsed="false">
      <c r="A689" s="85"/>
      <c r="B689" s="122"/>
      <c r="C689" s="49" t="n">
        <v>16</v>
      </c>
      <c r="D689" s="123" t="s">
        <v>247</v>
      </c>
      <c r="E689" s="124" t="s">
        <v>248</v>
      </c>
      <c r="F689" s="125" t="s">
        <v>27</v>
      </c>
      <c r="G689" s="126" t="s">
        <v>28</v>
      </c>
      <c r="H689" s="127" t="s">
        <v>249</v>
      </c>
      <c r="I689" s="128" t="s">
        <v>10</v>
      </c>
      <c r="J689" s="128" t="s">
        <v>9</v>
      </c>
    </row>
    <row r="690" customFormat="false" ht="15" hidden="false" customHeight="true" outlineLevel="0" collapsed="false">
      <c r="A690" s="7"/>
      <c r="B690" s="59"/>
      <c r="C690" s="42"/>
      <c r="D690" s="325" t="s">
        <v>250</v>
      </c>
      <c r="E690" s="315"/>
      <c r="F690" s="153"/>
      <c r="G690" s="326"/>
      <c r="H690" s="185"/>
      <c r="I690" s="252"/>
      <c r="J690" s="170"/>
    </row>
    <row r="691" customFormat="false" ht="15" hidden="false" customHeight="true" outlineLevel="0" collapsed="false">
      <c r="A691" s="7"/>
      <c r="B691" s="59"/>
      <c r="C691" s="42"/>
      <c r="D691" s="327" t="s">
        <v>251</v>
      </c>
      <c r="E691" s="315"/>
      <c r="F691" s="153"/>
      <c r="G691" s="326"/>
      <c r="H691" s="185"/>
      <c r="I691" s="252"/>
      <c r="J691" s="170"/>
    </row>
    <row r="692" s="318" customFormat="true" ht="15" hidden="false" customHeight="true" outlineLevel="0" collapsed="false">
      <c r="A692" s="148"/>
      <c r="B692" s="165"/>
      <c r="C692" s="115"/>
      <c r="D692" s="328" t="s">
        <v>252</v>
      </c>
      <c r="E692" s="136" t="s">
        <v>184</v>
      </c>
      <c r="F692" s="146" t="n">
        <f aca="false">1000*103</f>
        <v>103000</v>
      </c>
      <c r="G692" s="146" t="n">
        <v>8</v>
      </c>
      <c r="H692" s="146" t="n">
        <f aca="false">+F692*G692</f>
        <v>824000</v>
      </c>
      <c r="I692" s="182" t="n">
        <f aca="false">H692*21%</f>
        <v>173040</v>
      </c>
      <c r="J692" s="182" t="n">
        <f aca="false">H692+I692</f>
        <v>997040</v>
      </c>
    </row>
    <row r="693" s="94" customFormat="true" ht="15" hidden="false" customHeight="true" outlineLevel="0" collapsed="false">
      <c r="A693" s="85"/>
      <c r="B693" s="86"/>
      <c r="C693" s="140" t="n">
        <f aca="false">SUM(C690:C692)</f>
        <v>0</v>
      </c>
      <c r="D693" s="141"/>
      <c r="E693" s="142"/>
      <c r="F693" s="126" t="s">
        <v>253</v>
      </c>
      <c r="G693" s="126"/>
      <c r="H693" s="143" t="n">
        <f aca="false">SUM(H690:H692)</f>
        <v>824000</v>
      </c>
      <c r="I693" s="144" t="n">
        <f aca="false">SUM(I690:I692)</f>
        <v>173040</v>
      </c>
      <c r="J693" s="144" t="n">
        <f aca="false">SUM(J690:J692)</f>
        <v>997040</v>
      </c>
    </row>
    <row r="694" s="113" customFormat="true" ht="30" hidden="false" customHeight="true" outlineLevel="0" collapsed="false">
      <c r="A694" s="7"/>
      <c r="B694" s="18"/>
      <c r="C694" s="118"/>
      <c r="D694" s="109"/>
      <c r="E694" s="119"/>
      <c r="F694" s="120"/>
      <c r="G694" s="120"/>
      <c r="H694" s="121"/>
      <c r="I694" s="112"/>
      <c r="J694" s="112"/>
    </row>
    <row r="695" s="94" customFormat="true" ht="15" hidden="false" customHeight="true" outlineLevel="0" collapsed="false">
      <c r="A695" s="85"/>
      <c r="B695" s="122"/>
      <c r="C695" s="49" t="n">
        <v>17</v>
      </c>
      <c r="D695" s="123" t="s">
        <v>254</v>
      </c>
      <c r="E695" s="124" t="s">
        <v>26</v>
      </c>
      <c r="F695" s="125" t="s">
        <v>27</v>
      </c>
      <c r="G695" s="126" t="s">
        <v>28</v>
      </c>
      <c r="H695" s="127" t="s">
        <v>9</v>
      </c>
      <c r="I695" s="128" t="s">
        <v>10</v>
      </c>
      <c r="J695" s="128" t="s">
        <v>11</v>
      </c>
    </row>
    <row r="696" customFormat="false" ht="15" hidden="false" customHeight="true" outlineLevel="0" collapsed="false">
      <c r="A696" s="7"/>
      <c r="B696" s="59"/>
      <c r="C696" s="42"/>
      <c r="D696" s="159" t="s">
        <v>255</v>
      </c>
      <c r="E696" s="329"/>
      <c r="F696" s="330"/>
      <c r="G696" s="282"/>
      <c r="H696" s="331"/>
      <c r="I696" s="296"/>
      <c r="J696" s="297"/>
    </row>
    <row r="697" customFormat="false" ht="15" hidden="false" customHeight="true" outlineLevel="0" collapsed="false">
      <c r="A697" s="7"/>
      <c r="B697" s="59"/>
      <c r="C697" s="42"/>
      <c r="D697" s="332" t="s">
        <v>256</v>
      </c>
      <c r="E697" s="315"/>
      <c r="F697" s="153"/>
      <c r="G697" s="326"/>
      <c r="H697" s="185"/>
      <c r="I697" s="252"/>
      <c r="J697" s="170"/>
    </row>
    <row r="698" customFormat="false" ht="15" hidden="false" customHeight="true" outlineLevel="0" collapsed="false">
      <c r="A698" s="7"/>
      <c r="B698" s="59"/>
      <c r="C698" s="42"/>
      <c r="D698" s="327" t="s">
        <v>257</v>
      </c>
      <c r="E698" s="315"/>
      <c r="F698" s="153"/>
      <c r="G698" s="326"/>
      <c r="H698" s="185"/>
      <c r="I698" s="252"/>
      <c r="J698" s="170"/>
    </row>
    <row r="699" customFormat="false" ht="15" hidden="false" customHeight="true" outlineLevel="0" collapsed="false">
      <c r="A699" s="7"/>
      <c r="B699" s="59"/>
      <c r="C699" s="42"/>
      <c r="D699" s="333" t="s">
        <v>258</v>
      </c>
      <c r="E699" s="136" t="s">
        <v>187</v>
      </c>
      <c r="F699" s="146" t="n">
        <f aca="false">40000*103</f>
        <v>4120000</v>
      </c>
      <c r="G699" s="133" t="n">
        <v>3</v>
      </c>
      <c r="H699" s="334" t="n">
        <f aca="false">F699*G699</f>
        <v>12360000</v>
      </c>
      <c r="I699" s="182" t="n">
        <f aca="false">H699*21%</f>
        <v>2595600</v>
      </c>
      <c r="J699" s="182" t="n">
        <f aca="false">H699+I699</f>
        <v>14955600</v>
      </c>
    </row>
    <row r="700" customFormat="false" ht="15" hidden="false" customHeight="true" outlineLevel="0" collapsed="false">
      <c r="A700" s="7"/>
      <c r="B700" s="59"/>
      <c r="C700" s="42"/>
      <c r="D700" s="207" t="s">
        <v>259</v>
      </c>
      <c r="E700" s="329"/>
      <c r="F700" s="330"/>
      <c r="G700" s="282"/>
      <c r="H700" s="331"/>
      <c r="I700" s="296"/>
      <c r="J700" s="297"/>
    </row>
    <row r="701" customFormat="false" ht="15" hidden="false" customHeight="true" outlineLevel="0" collapsed="false">
      <c r="A701" s="7"/>
      <c r="B701" s="59"/>
      <c r="C701" s="42"/>
      <c r="D701" s="335" t="s">
        <v>260</v>
      </c>
      <c r="E701" s="315"/>
      <c r="F701" s="153"/>
      <c r="G701" s="326"/>
      <c r="H701" s="185"/>
      <c r="I701" s="252"/>
      <c r="J701" s="170"/>
    </row>
    <row r="702" customFormat="false" ht="15" hidden="false" customHeight="true" outlineLevel="0" collapsed="false">
      <c r="A702" s="7"/>
      <c r="B702" s="59"/>
      <c r="C702" s="42"/>
      <c r="D702" s="335"/>
      <c r="E702" s="336"/>
      <c r="F702" s="337"/>
      <c r="G702" s="314"/>
      <c r="H702" s="185"/>
      <c r="I702" s="252"/>
      <c r="J702" s="170"/>
    </row>
    <row r="703" customFormat="false" ht="76.5" hidden="false" customHeight="true" outlineLevel="0" collapsed="false">
      <c r="A703" s="7"/>
      <c r="B703" s="59"/>
      <c r="C703" s="42"/>
      <c r="D703" s="335"/>
      <c r="E703" s="136" t="s">
        <v>187</v>
      </c>
      <c r="F703" s="146" t="n">
        <v>23000</v>
      </c>
      <c r="G703" s="133" t="n">
        <v>10</v>
      </c>
      <c r="H703" s="133" t="n">
        <f aca="false">F703*G703</f>
        <v>230000</v>
      </c>
      <c r="I703" s="182" t="n">
        <f aca="false">H703*21%</f>
        <v>48300</v>
      </c>
      <c r="J703" s="182" t="n">
        <f aca="false">H703+I703</f>
        <v>278300</v>
      </c>
    </row>
    <row r="704" customFormat="false" ht="15" hidden="false" customHeight="true" outlineLevel="0" collapsed="false">
      <c r="A704" s="7"/>
      <c r="B704" s="59"/>
      <c r="C704" s="42"/>
      <c r="D704" s="207" t="s">
        <v>261</v>
      </c>
      <c r="E704" s="329"/>
      <c r="F704" s="330"/>
      <c r="G704" s="282"/>
      <c r="H704" s="331"/>
      <c r="I704" s="296"/>
      <c r="J704" s="297"/>
    </row>
    <row r="705" customFormat="false" ht="15" hidden="false" customHeight="true" outlineLevel="0" collapsed="false">
      <c r="A705" s="7"/>
      <c r="B705" s="59"/>
      <c r="C705" s="42"/>
      <c r="D705" s="327" t="s">
        <v>262</v>
      </c>
      <c r="E705" s="315"/>
      <c r="F705" s="153"/>
      <c r="G705" s="326"/>
      <c r="H705" s="185"/>
      <c r="I705" s="252"/>
      <c r="J705" s="170"/>
    </row>
    <row r="706" customFormat="false" ht="15" hidden="false" customHeight="true" outlineLevel="0" collapsed="false">
      <c r="A706" s="7"/>
      <c r="B706" s="59"/>
      <c r="C706" s="42"/>
      <c r="D706" s="250" t="s">
        <v>263</v>
      </c>
      <c r="E706" s="336"/>
      <c r="F706" s="337"/>
      <c r="G706" s="326"/>
      <c r="H706" s="185"/>
      <c r="I706" s="253"/>
      <c r="J706" s="254"/>
    </row>
    <row r="707" customFormat="false" ht="15" hidden="false" customHeight="true" outlineLevel="0" collapsed="false">
      <c r="A707" s="7"/>
      <c r="B707" s="59"/>
      <c r="C707" s="42"/>
      <c r="D707" s="338" t="s">
        <v>264</v>
      </c>
      <c r="E707" s="136" t="s">
        <v>265</v>
      </c>
      <c r="F707" s="146" t="n">
        <f aca="false">40000*103</f>
        <v>4120000</v>
      </c>
      <c r="G707" s="133" t="n">
        <v>3</v>
      </c>
      <c r="H707" s="133" t="n">
        <f aca="false">F707*G707</f>
        <v>12360000</v>
      </c>
      <c r="I707" s="182" t="n">
        <f aca="false">H707*21%</f>
        <v>2595600</v>
      </c>
      <c r="J707" s="182" t="n">
        <f aca="false">H707+I707</f>
        <v>14955600</v>
      </c>
    </row>
    <row r="708" customFormat="false" ht="15" hidden="false" customHeight="true" outlineLevel="0" collapsed="false">
      <c r="A708" s="7"/>
      <c r="B708" s="59"/>
      <c r="C708" s="42"/>
      <c r="D708" s="207" t="s">
        <v>266</v>
      </c>
      <c r="E708" s="329"/>
      <c r="F708" s="330"/>
      <c r="G708" s="282"/>
      <c r="H708" s="331"/>
      <c r="I708" s="252"/>
      <c r="J708" s="170"/>
      <c r="K708" s="339"/>
    </row>
    <row r="709" customFormat="false" ht="15" hidden="false" customHeight="true" outlineLevel="0" collapsed="false">
      <c r="A709" s="7"/>
      <c r="B709" s="59"/>
      <c r="C709" s="42"/>
      <c r="D709" s="250" t="s">
        <v>267</v>
      </c>
      <c r="E709" s="315"/>
      <c r="F709" s="153"/>
      <c r="G709" s="326"/>
      <c r="H709" s="185"/>
      <c r="I709" s="252"/>
      <c r="J709" s="170"/>
    </row>
    <row r="710" customFormat="false" ht="15" hidden="false" customHeight="true" outlineLevel="0" collapsed="false">
      <c r="A710" s="7"/>
      <c r="B710" s="59"/>
      <c r="C710" s="42"/>
      <c r="D710" s="327" t="s">
        <v>268</v>
      </c>
      <c r="E710" s="136" t="s">
        <v>265</v>
      </c>
      <c r="F710" s="146" t="n">
        <v>149000</v>
      </c>
      <c r="G710" s="133" t="n">
        <v>3</v>
      </c>
      <c r="H710" s="133" t="n">
        <f aca="false">F710*G710</f>
        <v>447000</v>
      </c>
      <c r="I710" s="182" t="n">
        <f aca="false">H710*21%</f>
        <v>93870</v>
      </c>
      <c r="J710" s="182" t="n">
        <f aca="false">H710+I710</f>
        <v>540870</v>
      </c>
    </row>
    <row r="711" customFormat="false" ht="15" hidden="false" customHeight="true" outlineLevel="0" collapsed="false">
      <c r="A711" s="7"/>
      <c r="B711" s="59"/>
      <c r="C711" s="42"/>
      <c r="D711" s="340" t="s">
        <v>269</v>
      </c>
      <c r="E711" s="280"/>
      <c r="F711" s="281"/>
      <c r="G711" s="282"/>
      <c r="H711" s="133"/>
      <c r="I711" s="283"/>
      <c r="J711" s="284"/>
    </row>
    <row r="712" customFormat="false" ht="15" hidden="false" customHeight="true" outlineLevel="0" collapsed="false">
      <c r="A712" s="7"/>
      <c r="B712" s="59"/>
      <c r="C712" s="42"/>
      <c r="D712" s="341" t="s">
        <v>270</v>
      </c>
      <c r="E712" s="160" t="s">
        <v>121</v>
      </c>
      <c r="F712" s="133" t="n">
        <v>850000</v>
      </c>
      <c r="G712" s="180" t="n">
        <v>1</v>
      </c>
      <c r="H712" s="133" t="n">
        <f aca="false">+F712*G712</f>
        <v>850000</v>
      </c>
      <c r="I712" s="182" t="n">
        <f aca="false">H712*21%</f>
        <v>178500</v>
      </c>
      <c r="J712" s="182" t="n">
        <f aca="false">H712+I712</f>
        <v>1028500</v>
      </c>
    </row>
    <row r="713" s="318" customFormat="true" ht="15" hidden="false" customHeight="true" outlineLevel="0" collapsed="false">
      <c r="A713" s="148"/>
      <c r="B713" s="165"/>
      <c r="C713" s="115"/>
      <c r="D713" s="159" t="s">
        <v>271</v>
      </c>
      <c r="E713" s="315"/>
      <c r="F713" s="316"/>
      <c r="G713" s="317"/>
      <c r="H713" s="153"/>
      <c r="I713" s="296"/>
      <c r="J713" s="297"/>
    </row>
    <row r="714" customFormat="false" ht="15" hidden="false" customHeight="true" outlineLevel="0" collapsed="false">
      <c r="A714" s="7"/>
      <c r="B714" s="59"/>
      <c r="C714" s="42"/>
      <c r="D714" s="327" t="s">
        <v>272</v>
      </c>
      <c r="E714" s="315"/>
      <c r="F714" s="153"/>
      <c r="G714" s="326"/>
      <c r="H714" s="185"/>
      <c r="I714" s="252"/>
      <c r="J714" s="170"/>
    </row>
    <row r="715" customFormat="false" ht="15" hidden="false" customHeight="true" outlineLevel="0" collapsed="false">
      <c r="A715" s="7"/>
      <c r="B715" s="59"/>
      <c r="C715" s="42"/>
      <c r="D715" s="327" t="s">
        <v>273</v>
      </c>
      <c r="E715" s="315"/>
      <c r="F715" s="153"/>
      <c r="G715" s="326"/>
      <c r="H715" s="185"/>
      <c r="I715" s="252"/>
      <c r="J715" s="170"/>
    </row>
    <row r="716" customFormat="false" ht="15" hidden="false" customHeight="true" outlineLevel="0" collapsed="false">
      <c r="A716" s="7"/>
      <c r="B716" s="59"/>
      <c r="C716" s="42"/>
      <c r="D716" s="250" t="s">
        <v>274</v>
      </c>
      <c r="E716" s="315"/>
      <c r="F716" s="153"/>
      <c r="G716" s="326"/>
      <c r="H716" s="185"/>
      <c r="I716" s="252"/>
      <c r="J716" s="170"/>
    </row>
    <row r="717" customFormat="false" ht="15" hidden="false" customHeight="true" outlineLevel="0" collapsed="false">
      <c r="A717" s="7"/>
      <c r="B717" s="59"/>
      <c r="C717" s="42"/>
      <c r="D717" s="250" t="s">
        <v>275</v>
      </c>
      <c r="E717" s="315"/>
      <c r="F717" s="153"/>
      <c r="G717" s="326"/>
      <c r="H717" s="185"/>
      <c r="I717" s="252"/>
      <c r="J717" s="170"/>
    </row>
    <row r="718" customFormat="false" ht="15" hidden="false" customHeight="true" outlineLevel="0" collapsed="false">
      <c r="A718" s="7"/>
      <c r="B718" s="59"/>
      <c r="C718" s="42"/>
      <c r="D718" s="250" t="s">
        <v>276</v>
      </c>
      <c r="E718" s="160" t="s">
        <v>61</v>
      </c>
      <c r="F718" s="146" t="n">
        <v>98500</v>
      </c>
      <c r="G718" s="133" t="n">
        <v>2.5</v>
      </c>
      <c r="H718" s="133" t="n">
        <f aca="false">F718*G718</f>
        <v>246250</v>
      </c>
      <c r="I718" s="182" t="n">
        <f aca="false">H718*21%</f>
        <v>51712.5</v>
      </c>
      <c r="J718" s="182" t="n">
        <f aca="false">H718+I718</f>
        <v>297962.5</v>
      </c>
    </row>
    <row r="719" s="318" customFormat="true" ht="15" hidden="false" customHeight="true" outlineLevel="0" collapsed="false">
      <c r="A719" s="148"/>
      <c r="B719" s="165"/>
      <c r="C719" s="115"/>
      <c r="D719" s="159" t="s">
        <v>277</v>
      </c>
      <c r="E719" s="315"/>
      <c r="F719" s="316"/>
      <c r="G719" s="317"/>
      <c r="H719" s="153"/>
      <c r="I719" s="296"/>
      <c r="J719" s="297"/>
    </row>
    <row r="720" s="318" customFormat="true" ht="15" hidden="false" customHeight="false" outlineLevel="0" collapsed="false">
      <c r="A720" s="148"/>
      <c r="B720" s="165"/>
      <c r="C720" s="115"/>
      <c r="D720" s="342" t="s">
        <v>278</v>
      </c>
      <c r="E720" s="315"/>
      <c r="F720" s="153"/>
      <c r="G720" s="317"/>
      <c r="H720" s="322"/>
      <c r="I720" s="252"/>
      <c r="J720" s="170"/>
    </row>
    <row r="721" s="318" customFormat="true" ht="15" hidden="false" customHeight="false" outlineLevel="0" collapsed="false">
      <c r="A721" s="148"/>
      <c r="B721" s="165"/>
      <c r="C721" s="115"/>
      <c r="D721" s="343"/>
      <c r="E721" s="160" t="s">
        <v>61</v>
      </c>
      <c r="F721" s="146" t="n">
        <f aca="false">6000*103</f>
        <v>618000</v>
      </c>
      <c r="G721" s="133" t="n">
        <v>2.5</v>
      </c>
      <c r="H721" s="133" t="n">
        <f aca="false">F721*G721</f>
        <v>1545000</v>
      </c>
      <c r="I721" s="182" t="n">
        <f aca="false">H721*21%</f>
        <v>324450</v>
      </c>
      <c r="J721" s="182" t="n">
        <f aca="false">H721+I721</f>
        <v>1869450</v>
      </c>
    </row>
    <row r="722" customFormat="false" ht="15" hidden="false" customHeight="true" outlineLevel="0" collapsed="false">
      <c r="A722" s="7"/>
      <c r="B722" s="59"/>
      <c r="C722" s="42"/>
      <c r="D722" s="340" t="s">
        <v>216</v>
      </c>
      <c r="E722" s="280"/>
      <c r="F722" s="281"/>
      <c r="G722" s="282"/>
      <c r="H722" s="133"/>
      <c r="I722" s="283"/>
      <c r="J722" s="284"/>
    </row>
    <row r="723" customFormat="false" ht="15" hidden="false" customHeight="true" outlineLevel="0" collapsed="false">
      <c r="A723" s="7"/>
      <c r="B723" s="59"/>
      <c r="C723" s="42"/>
      <c r="D723" s="321" t="s">
        <v>279</v>
      </c>
      <c r="E723" s="160" t="s">
        <v>212</v>
      </c>
      <c r="F723" s="133" t="n">
        <f aca="false">300*103</f>
        <v>30900</v>
      </c>
      <c r="G723" s="133" t="n">
        <v>15</v>
      </c>
      <c r="H723" s="133" t="n">
        <f aca="false">+F723*G723</f>
        <v>463500</v>
      </c>
      <c r="I723" s="182" t="e">
        <f aca="false">H723*21%</f>
        <v>#NAME?</v>
      </c>
      <c r="J723" s="182" t="e">
        <f aca="false">H723+I723</f>
        <v>#NAME?</v>
      </c>
    </row>
    <row r="724" customFormat="false" ht="15" hidden="false" customHeight="true" outlineLevel="0" collapsed="false">
      <c r="A724" s="7"/>
      <c r="B724" s="59"/>
      <c r="C724" s="42"/>
      <c r="D724" s="321" t="s">
        <v>280</v>
      </c>
      <c r="E724" s="160" t="s">
        <v>212</v>
      </c>
      <c r="F724" s="133" t="n">
        <v>23000</v>
      </c>
      <c r="G724" s="133" t="n">
        <v>10</v>
      </c>
      <c r="H724" s="133" t="n">
        <f aca="false">+F724*G724</f>
        <v>230000</v>
      </c>
      <c r="I724" s="182" t="e">
        <f aca="false">H724*21%</f>
        <v>#NAME?</v>
      </c>
      <c r="J724" s="182" t="e">
        <f aca="false">H724+I724</f>
        <v>#NAME?</v>
      </c>
    </row>
    <row r="725" customFormat="false" ht="15" hidden="false" customHeight="true" outlineLevel="0" collapsed="false">
      <c r="A725" s="7"/>
      <c r="B725" s="59"/>
      <c r="C725" s="42"/>
      <c r="D725" s="341" t="s">
        <v>281</v>
      </c>
      <c r="E725" s="160" t="s">
        <v>212</v>
      </c>
      <c r="F725" s="133" t="n">
        <v>52000</v>
      </c>
      <c r="G725" s="133" t="n">
        <v>3</v>
      </c>
      <c r="H725" s="133" t="n">
        <f aca="false">+F725*G725</f>
        <v>156000</v>
      </c>
      <c r="I725" s="182" t="e">
        <f aca="false">H725*21%</f>
        <v>#NAME?</v>
      </c>
      <c r="J725" s="182" t="e">
        <f aca="false">H725+I725</f>
        <v>#NAME?</v>
      </c>
    </row>
    <row r="726" customFormat="false" ht="15" hidden="false" customHeight="true" outlineLevel="0" collapsed="false">
      <c r="A726" s="7"/>
      <c r="B726" s="59"/>
      <c r="C726" s="42"/>
      <c r="D726" s="321" t="s">
        <v>282</v>
      </c>
      <c r="E726" s="160" t="s">
        <v>212</v>
      </c>
      <c r="F726" s="133" t="n">
        <v>0</v>
      </c>
      <c r="G726" s="133" t="n">
        <v>0</v>
      </c>
      <c r="H726" s="133" t="n">
        <f aca="false">F726*G726</f>
        <v>0</v>
      </c>
      <c r="I726" s="182" t="e">
        <f aca="false">H726*21%</f>
        <v>#NAME?</v>
      </c>
      <c r="J726" s="182" t="e">
        <f aca="false">H726+I726</f>
        <v>#NAME?</v>
      </c>
    </row>
    <row r="727" customFormat="false" ht="15" hidden="false" customHeight="true" outlineLevel="0" collapsed="false">
      <c r="A727" s="7"/>
      <c r="B727" s="59"/>
      <c r="C727" s="42"/>
      <c r="D727" s="344" t="s">
        <v>283</v>
      </c>
      <c r="E727" s="136" t="s">
        <v>30</v>
      </c>
      <c r="F727" s="133" t="n">
        <v>340000</v>
      </c>
      <c r="G727" s="133" t="n">
        <v>1</v>
      </c>
      <c r="H727" s="133" t="n">
        <f aca="false">F727*G727</f>
        <v>340000</v>
      </c>
      <c r="I727" s="182" t="e">
        <f aca="false">H727*21%</f>
        <v>#NAME?</v>
      </c>
      <c r="J727" s="182" t="e">
        <f aca="false">H727+I727</f>
        <v>#NAME?</v>
      </c>
    </row>
    <row r="728" s="94" customFormat="true" ht="15" hidden="false" customHeight="true" outlineLevel="0" collapsed="false">
      <c r="A728" s="7"/>
      <c r="B728" s="86"/>
      <c r="C728" s="140" t="n">
        <f aca="false">SUM(C696:C727)</f>
        <v>0</v>
      </c>
      <c r="D728" s="141"/>
      <c r="E728" s="142"/>
      <c r="F728" s="126" t="s">
        <v>284</v>
      </c>
      <c r="G728" s="126"/>
      <c r="H728" s="143" t="n">
        <f aca="false">SUM(H699:H727)</f>
        <v>29227750</v>
      </c>
      <c r="I728" s="144" t="n">
        <f aca="false">SUM(I699:I727)</f>
        <v>6137827.5</v>
      </c>
      <c r="J728" s="144" t="n">
        <f aca="false">SUM(J699:J727)</f>
        <v>35365577.5</v>
      </c>
    </row>
    <row r="729" s="113" customFormat="true" ht="30" hidden="false" customHeight="true" outlineLevel="0" collapsed="false">
      <c r="A729" s="7"/>
      <c r="B729" s="18"/>
      <c r="C729" s="118"/>
      <c r="D729" s="109"/>
      <c r="E729" s="119"/>
      <c r="F729" s="120"/>
      <c r="G729" s="120"/>
      <c r="H729" s="121"/>
      <c r="I729" s="112"/>
      <c r="J729" s="112"/>
    </row>
    <row r="730" s="94" customFormat="true" ht="15" hidden="false" customHeight="true" outlineLevel="0" collapsed="false">
      <c r="A730" s="7"/>
      <c r="B730" s="122"/>
      <c r="C730" s="49" t="n">
        <v>18</v>
      </c>
      <c r="D730" s="123" t="s">
        <v>285</v>
      </c>
      <c r="E730" s="124" t="s">
        <v>26</v>
      </c>
      <c r="F730" s="125" t="s">
        <v>27</v>
      </c>
      <c r="G730" s="126" t="s">
        <v>28</v>
      </c>
      <c r="H730" s="127" t="s">
        <v>9</v>
      </c>
      <c r="I730" s="128" t="s">
        <v>10</v>
      </c>
      <c r="J730" s="128" t="s">
        <v>11</v>
      </c>
    </row>
    <row r="731" customFormat="false" ht="15" hidden="false" customHeight="true" outlineLevel="0" collapsed="false">
      <c r="A731" s="7"/>
      <c r="B731" s="59"/>
      <c r="C731" s="145"/>
      <c r="D731" s="139" t="s">
        <v>286</v>
      </c>
      <c r="E731" s="136" t="s">
        <v>30</v>
      </c>
      <c r="F731" s="275" t="n">
        <f aca="false">15000*103</f>
        <v>1545000</v>
      </c>
      <c r="G731" s="275" t="n">
        <v>1</v>
      </c>
      <c r="H731" s="133" t="n">
        <f aca="false">F731*G731</f>
        <v>1545000</v>
      </c>
      <c r="I731" s="276" t="n">
        <f aca="false">H731*21%</f>
        <v>324450</v>
      </c>
      <c r="J731" s="276" t="n">
        <f aca="false">H731+I731</f>
        <v>1869450</v>
      </c>
    </row>
    <row r="732" customFormat="false" ht="15" hidden="false" customHeight="true" outlineLevel="0" collapsed="false">
      <c r="A732" s="7"/>
      <c r="B732" s="59"/>
      <c r="C732" s="145"/>
      <c r="D732" s="345" t="s">
        <v>287</v>
      </c>
      <c r="E732" s="136"/>
      <c r="F732" s="275"/>
      <c r="G732" s="275"/>
      <c r="H732" s="133"/>
      <c r="I732" s="276"/>
      <c r="J732" s="276"/>
    </row>
    <row r="733" customFormat="false" ht="15" hidden="false" customHeight="true" outlineLevel="0" collapsed="false">
      <c r="A733" s="7"/>
      <c r="B733" s="59"/>
      <c r="C733" s="145"/>
      <c r="D733" s="139" t="s">
        <v>288</v>
      </c>
      <c r="E733" s="136" t="s">
        <v>30</v>
      </c>
      <c r="F733" s="275" t="n">
        <v>0</v>
      </c>
      <c r="G733" s="275" t="n">
        <v>1</v>
      </c>
      <c r="H733" s="133" t="n">
        <f aca="false">F733*G733</f>
        <v>0</v>
      </c>
      <c r="I733" s="276" t="n">
        <f aca="false">H733*21%</f>
        <v>0</v>
      </c>
      <c r="J733" s="276" t="n">
        <f aca="false">H733+I733</f>
        <v>0</v>
      </c>
    </row>
    <row r="734" s="94" customFormat="true" ht="15" hidden="false" customHeight="true" outlineLevel="0" collapsed="false">
      <c r="A734" s="7"/>
      <c r="B734" s="86"/>
      <c r="C734" s="140" t="n">
        <f aca="false">SUM(C731:C733)</f>
        <v>0</v>
      </c>
      <c r="D734" s="141"/>
      <c r="E734" s="142"/>
      <c r="F734" s="126" t="s">
        <v>289</v>
      </c>
      <c r="G734" s="126"/>
      <c r="H734" s="143" t="n">
        <f aca="false">SUM(H731:H733)</f>
        <v>1545000</v>
      </c>
      <c r="I734" s="144" t="n">
        <f aca="false">SUM(I731:I733)</f>
        <v>324450</v>
      </c>
      <c r="J734" s="144" t="n">
        <f aca="false">SUM(J731:J733)</f>
        <v>1869450</v>
      </c>
    </row>
    <row r="735" s="113" customFormat="true" ht="30" hidden="false" customHeight="true" outlineLevel="0" collapsed="false">
      <c r="A735" s="7"/>
      <c r="B735" s="18"/>
      <c r="C735" s="118"/>
      <c r="D735" s="269"/>
      <c r="E735" s="5"/>
      <c r="F735" s="4"/>
      <c r="G735" s="4"/>
      <c r="H735" s="270"/>
      <c r="I735" s="271"/>
      <c r="J735" s="271"/>
    </row>
    <row r="736" s="94" customFormat="true" ht="15" hidden="false" customHeight="true" outlineLevel="0" collapsed="false">
      <c r="A736" s="7"/>
      <c r="B736" s="122"/>
      <c r="C736" s="49" t="n">
        <v>19</v>
      </c>
      <c r="D736" s="123" t="s">
        <v>290</v>
      </c>
      <c r="E736" s="124" t="s">
        <v>26</v>
      </c>
      <c r="F736" s="125" t="s">
        <v>27</v>
      </c>
      <c r="G736" s="126" t="s">
        <v>28</v>
      </c>
      <c r="H736" s="127" t="s">
        <v>9</v>
      </c>
      <c r="I736" s="128" t="s">
        <v>10</v>
      </c>
      <c r="J736" s="128" t="s">
        <v>11</v>
      </c>
    </row>
    <row r="737" s="249" customFormat="true" ht="15" hidden="false" customHeight="true" outlineLevel="0" collapsed="false">
      <c r="A737" s="237"/>
      <c r="B737" s="238"/>
      <c r="C737" s="279"/>
      <c r="D737" s="207" t="s">
        <v>291</v>
      </c>
      <c r="E737" s="280"/>
      <c r="F737" s="281"/>
      <c r="G737" s="282"/>
      <c r="H737" s="133"/>
      <c r="I737" s="296"/>
      <c r="J737" s="297"/>
    </row>
    <row r="738" s="156" customFormat="true" ht="15" hidden="false" customHeight="true" outlineLevel="0" collapsed="false">
      <c r="A738" s="148"/>
      <c r="B738" s="149"/>
      <c r="C738" s="115"/>
      <c r="D738" s="166"/>
      <c r="E738" s="136" t="s">
        <v>115</v>
      </c>
      <c r="F738" s="294" t="n">
        <v>92000</v>
      </c>
      <c r="G738" s="146" t="n">
        <v>8</v>
      </c>
      <c r="H738" s="146" t="n">
        <f aca="false">+F738*G738</f>
        <v>736000</v>
      </c>
      <c r="I738" s="146" t="n">
        <f aca="false">H738*21%</f>
        <v>154560</v>
      </c>
      <c r="J738" s="182" t="n">
        <f aca="false">H738+I738</f>
        <v>890560</v>
      </c>
    </row>
    <row r="739" s="249" customFormat="true" ht="15" hidden="false" customHeight="true" outlineLevel="0" collapsed="false">
      <c r="A739" s="7"/>
      <c r="B739" s="238"/>
      <c r="C739" s="145" t="n">
        <v>2</v>
      </c>
      <c r="D739" s="207" t="s">
        <v>292</v>
      </c>
      <c r="E739" s="280"/>
      <c r="F739" s="281"/>
      <c r="G739" s="282"/>
      <c r="H739" s="133"/>
      <c r="I739" s="346"/>
      <c r="J739" s="347"/>
    </row>
    <row r="740" customFormat="false" ht="15" hidden="false" customHeight="true" outlineLevel="0" collapsed="false">
      <c r="A740" s="7"/>
      <c r="B740" s="59"/>
      <c r="C740" s="145"/>
      <c r="D740" s="26" t="s">
        <v>293</v>
      </c>
      <c r="E740" s="187" t="s">
        <v>180</v>
      </c>
      <c r="F740" s="285" t="n">
        <v>35000</v>
      </c>
      <c r="G740" s="133" t="n">
        <v>8</v>
      </c>
      <c r="H740" s="133" t="n">
        <f aca="false">+F740*G740</f>
        <v>280000</v>
      </c>
      <c r="I740" s="182"/>
      <c r="J740" s="182" t="n">
        <f aca="false">SUM(H740)</f>
        <v>280000</v>
      </c>
    </row>
    <row r="741" customFormat="false" ht="15" hidden="false" customHeight="true" outlineLevel="0" collapsed="false">
      <c r="A741" s="7"/>
      <c r="B741" s="59"/>
      <c r="C741" s="145"/>
      <c r="D741" s="26" t="s">
        <v>294</v>
      </c>
      <c r="E741" s="160" t="s">
        <v>61</v>
      </c>
      <c r="F741" s="285" t="n">
        <v>100000</v>
      </c>
      <c r="G741" s="133" t="n">
        <v>5</v>
      </c>
      <c r="H741" s="133" t="n">
        <f aca="false">+F741*G741</f>
        <v>500000</v>
      </c>
      <c r="I741" s="182"/>
      <c r="J741" s="182" t="n">
        <f aca="false">+H741+I741</f>
        <v>500000</v>
      </c>
    </row>
    <row r="742" customFormat="false" ht="15" hidden="false" customHeight="true" outlineLevel="0" collapsed="false">
      <c r="A742" s="7"/>
      <c r="B742" s="59"/>
      <c r="C742" s="145"/>
      <c r="D742" s="26" t="s">
        <v>295</v>
      </c>
      <c r="E742" s="160" t="s">
        <v>61</v>
      </c>
      <c r="F742" s="285" t="n">
        <f aca="false">27000*66</f>
        <v>1782000</v>
      </c>
      <c r="G742" s="348" t="n">
        <v>1</v>
      </c>
      <c r="H742" s="133" t="n">
        <f aca="false">+G742*F742</f>
        <v>1782000</v>
      </c>
      <c r="I742" s="182" t="n">
        <f aca="false">+H742*21%</f>
        <v>374220</v>
      </c>
      <c r="J742" s="182" t="n">
        <f aca="false">+I742+H742</f>
        <v>2156220</v>
      </c>
    </row>
    <row r="743" customFormat="false" ht="15" hidden="false" customHeight="true" outlineLevel="0" collapsed="false">
      <c r="A743" s="7"/>
      <c r="B743" s="59"/>
      <c r="C743" s="145"/>
      <c r="D743" s="26" t="s">
        <v>296</v>
      </c>
      <c r="E743" s="160" t="s">
        <v>61</v>
      </c>
      <c r="F743" s="285" t="n">
        <f aca="false">11000*2</f>
        <v>22000</v>
      </c>
      <c r="G743" s="133" t="n">
        <v>66</v>
      </c>
      <c r="H743" s="133" t="n">
        <f aca="false">+G743*F743</f>
        <v>1452000</v>
      </c>
      <c r="I743" s="182" t="n">
        <f aca="false">+H743*21%</f>
        <v>304920</v>
      </c>
      <c r="J743" s="182" t="n">
        <f aca="false">+I743+H743</f>
        <v>1756920</v>
      </c>
    </row>
    <row r="744" customFormat="false" ht="15" hidden="false" customHeight="true" outlineLevel="0" collapsed="false">
      <c r="A744" s="7"/>
      <c r="B744" s="59"/>
      <c r="C744" s="145"/>
      <c r="D744" s="26" t="s">
        <v>297</v>
      </c>
      <c r="E744" s="160" t="s">
        <v>61</v>
      </c>
      <c r="F744" s="285" t="n">
        <v>50000</v>
      </c>
      <c r="G744" s="133" t="n">
        <v>3.5</v>
      </c>
      <c r="H744" s="131" t="n">
        <f aca="false">+F744*G744</f>
        <v>175000</v>
      </c>
      <c r="I744" s="182"/>
      <c r="J744" s="182" t="n">
        <f aca="false">SUM(H744)</f>
        <v>175000</v>
      </c>
    </row>
    <row r="745" customFormat="false" ht="15" hidden="false" customHeight="true" outlineLevel="0" collapsed="false">
      <c r="A745" s="7"/>
      <c r="B745" s="59"/>
      <c r="C745" s="145"/>
      <c r="D745" s="139" t="s">
        <v>298</v>
      </c>
      <c r="E745" s="160" t="s">
        <v>61</v>
      </c>
      <c r="F745" s="133" t="n">
        <v>0</v>
      </c>
      <c r="G745" s="133" t="n">
        <v>3.5</v>
      </c>
      <c r="H745" s="133" t="n">
        <f aca="false">+F745*G745</f>
        <v>0</v>
      </c>
      <c r="I745" s="182"/>
      <c r="J745" s="182" t="n">
        <f aca="false">SUM(H745)</f>
        <v>0</v>
      </c>
    </row>
    <row r="746" s="249" customFormat="true" ht="15" hidden="false" customHeight="true" outlineLevel="0" collapsed="false">
      <c r="A746" s="7"/>
      <c r="B746" s="238"/>
      <c r="C746" s="145" t="n">
        <v>3</v>
      </c>
      <c r="D746" s="207" t="s">
        <v>299</v>
      </c>
      <c r="E746" s="280"/>
      <c r="F746" s="281"/>
      <c r="G746" s="282"/>
      <c r="H746" s="133"/>
      <c r="I746" s="242"/>
      <c r="J746" s="243"/>
    </row>
    <row r="747" customFormat="false" ht="15" hidden="false" customHeight="true" outlineLevel="0" collapsed="false">
      <c r="A747" s="7"/>
      <c r="B747" s="59"/>
      <c r="C747" s="145"/>
      <c r="D747" s="166" t="s">
        <v>300</v>
      </c>
      <c r="E747" s="187" t="s">
        <v>180</v>
      </c>
      <c r="F747" s="285" t="n">
        <f aca="false">22000*66</f>
        <v>1452000</v>
      </c>
      <c r="G747" s="133" t="n">
        <v>1</v>
      </c>
      <c r="H747" s="133" t="n">
        <f aca="false">+F747*G747</f>
        <v>1452000</v>
      </c>
      <c r="I747" s="182" t="n">
        <f aca="false">+H747*21%</f>
        <v>304920</v>
      </c>
      <c r="J747" s="182" t="n">
        <f aca="false">+I747+H747</f>
        <v>1756920</v>
      </c>
    </row>
    <row r="748" customFormat="false" ht="15" hidden="false" customHeight="true" outlineLevel="0" collapsed="false">
      <c r="A748" s="7"/>
      <c r="B748" s="59"/>
      <c r="C748" s="145"/>
      <c r="D748" s="166" t="s">
        <v>301</v>
      </c>
      <c r="E748" s="187" t="s">
        <v>180</v>
      </c>
      <c r="F748" s="285" t="n">
        <f aca="false">900*85</f>
        <v>76500</v>
      </c>
      <c r="G748" s="133" t="n">
        <v>12</v>
      </c>
      <c r="H748" s="133" t="n">
        <f aca="false">+G748*F748</f>
        <v>918000</v>
      </c>
      <c r="I748" s="182" t="e">
        <f aca="false">+H748*21%</f>
        <v>#NAME?</v>
      </c>
      <c r="J748" s="182" t="e">
        <f aca="false">+I748+H748</f>
        <v>#NAME?</v>
      </c>
    </row>
    <row r="749" customFormat="false" ht="15" hidden="false" customHeight="true" outlineLevel="0" collapsed="false">
      <c r="A749" s="7"/>
      <c r="B749" s="59"/>
      <c r="C749" s="145"/>
      <c r="D749" s="166" t="s">
        <v>302</v>
      </c>
      <c r="E749" s="187" t="s">
        <v>180</v>
      </c>
      <c r="F749" s="285" t="n">
        <f aca="false">(35000*66)*2</f>
        <v>4620000</v>
      </c>
      <c r="G749" s="133" t="n">
        <v>1</v>
      </c>
      <c r="H749" s="133" t="n">
        <f aca="false">+G749*F749</f>
        <v>4620000</v>
      </c>
      <c r="I749" s="182" t="e">
        <f aca="false">+H749*21%</f>
        <v>#NAME?</v>
      </c>
      <c r="J749" s="182" t="e">
        <f aca="false">+I749+H749</f>
        <v>#NAME?</v>
      </c>
    </row>
    <row r="750" s="113" customFormat="true" ht="15" hidden="false" customHeight="true" outlineLevel="0" collapsed="false">
      <c r="A750" s="7"/>
      <c r="B750" s="59"/>
      <c r="C750" s="145"/>
      <c r="D750" s="26"/>
      <c r="E750" s="160" t="s">
        <v>66</v>
      </c>
      <c r="F750" s="285" t="n">
        <v>0</v>
      </c>
      <c r="G750" s="133" t="n">
        <v>0</v>
      </c>
      <c r="H750" s="133" t="n">
        <f aca="false">SUM(H747:H749)</f>
        <v>6990000</v>
      </c>
      <c r="I750" s="182" t="n">
        <f aca="false">+H750*21%</f>
        <v>1467900</v>
      </c>
      <c r="J750" s="182" t="n">
        <f aca="false">+H750+I750</f>
        <v>8457900</v>
      </c>
    </row>
    <row r="751" s="249" customFormat="true" ht="15" hidden="false" customHeight="true" outlineLevel="0" collapsed="false">
      <c r="A751" s="7"/>
      <c r="B751" s="238"/>
      <c r="C751" s="279"/>
      <c r="D751" s="207" t="s">
        <v>303</v>
      </c>
      <c r="E751" s="280"/>
      <c r="F751" s="281"/>
      <c r="G751" s="282"/>
      <c r="H751" s="133"/>
      <c r="I751" s="346"/>
      <c r="J751" s="347"/>
    </row>
    <row r="752" customFormat="false" ht="15" hidden="false" customHeight="true" outlineLevel="0" collapsed="false">
      <c r="A752" s="7"/>
      <c r="B752" s="59"/>
      <c r="C752" s="145"/>
      <c r="D752" s="26" t="s">
        <v>304</v>
      </c>
      <c r="E752" s="160" t="s">
        <v>305</v>
      </c>
      <c r="F752" s="285" t="n">
        <v>0</v>
      </c>
      <c r="G752" s="133" t="n">
        <v>0</v>
      </c>
      <c r="H752" s="133" t="n">
        <f aca="false">+G752*F752</f>
        <v>0</v>
      </c>
      <c r="I752" s="182"/>
      <c r="J752" s="182" t="n">
        <f aca="false">SUM(H751:H752)</f>
        <v>0</v>
      </c>
    </row>
    <row r="753" s="113" customFormat="true" ht="15" hidden="false" customHeight="true" outlineLevel="0" collapsed="false">
      <c r="A753" s="7"/>
      <c r="B753" s="59"/>
      <c r="C753" s="145"/>
      <c r="D753" s="26" t="s">
        <v>306</v>
      </c>
      <c r="E753" s="160" t="s">
        <v>305</v>
      </c>
      <c r="F753" s="285" t="n">
        <v>0</v>
      </c>
      <c r="G753" s="133" t="n">
        <v>0</v>
      </c>
      <c r="H753" s="133" t="n">
        <f aca="false">+G753*F753</f>
        <v>0</v>
      </c>
      <c r="I753" s="182"/>
      <c r="J753" s="182" t="n">
        <f aca="false">SUM(H752:H753)</f>
        <v>0</v>
      </c>
    </row>
    <row r="754" s="249" customFormat="true" ht="15" hidden="false" customHeight="true" outlineLevel="0" collapsed="false">
      <c r="A754" s="7"/>
      <c r="B754" s="238"/>
      <c r="C754" s="279"/>
      <c r="D754" s="207" t="s">
        <v>307</v>
      </c>
      <c r="E754" s="280"/>
      <c r="F754" s="281"/>
      <c r="G754" s="282"/>
      <c r="H754" s="133"/>
      <c r="I754" s="346"/>
      <c r="J754" s="347"/>
    </row>
    <row r="755" customFormat="false" ht="15" hidden="false" customHeight="true" outlineLevel="0" collapsed="false">
      <c r="A755" s="7"/>
      <c r="B755" s="59"/>
      <c r="C755" s="145"/>
      <c r="D755" s="26" t="s">
        <v>308</v>
      </c>
      <c r="E755" s="136" t="s">
        <v>30</v>
      </c>
      <c r="F755" s="285" t="n">
        <v>0</v>
      </c>
      <c r="G755" s="133" t="n">
        <v>0</v>
      </c>
      <c r="H755" s="133" t="n">
        <f aca="false">F755*G755</f>
        <v>0</v>
      </c>
      <c r="I755" s="182"/>
      <c r="J755" s="182" t="n">
        <f aca="false">SUM(H754:H755)</f>
        <v>0</v>
      </c>
    </row>
    <row r="756" customFormat="false" ht="15" hidden="false" customHeight="true" outlineLevel="0" collapsed="false">
      <c r="A756" s="7"/>
      <c r="B756" s="59"/>
      <c r="C756" s="145"/>
      <c r="D756" s="26" t="s">
        <v>309</v>
      </c>
      <c r="E756" s="160" t="s">
        <v>305</v>
      </c>
      <c r="F756" s="285" t="n">
        <v>0</v>
      </c>
      <c r="G756" s="133" t="n">
        <v>0</v>
      </c>
      <c r="H756" s="133" t="n">
        <f aca="false">F756*G756</f>
        <v>0</v>
      </c>
      <c r="I756" s="182"/>
      <c r="J756" s="182" t="n">
        <f aca="false">SUM(H755:H756)</f>
        <v>0</v>
      </c>
    </row>
    <row r="757" s="249" customFormat="true" ht="15" hidden="false" customHeight="true" outlineLevel="0" collapsed="false">
      <c r="A757" s="7"/>
      <c r="B757" s="238"/>
      <c r="C757" s="279"/>
      <c r="D757" s="207" t="s">
        <v>310</v>
      </c>
      <c r="E757" s="280"/>
      <c r="F757" s="281"/>
      <c r="G757" s="282"/>
      <c r="H757" s="133"/>
      <c r="I757" s="346"/>
      <c r="J757" s="347"/>
    </row>
    <row r="758" customFormat="false" ht="15" hidden="false" customHeight="true" outlineLevel="0" collapsed="false">
      <c r="A758" s="7"/>
      <c r="B758" s="59"/>
      <c r="C758" s="145"/>
      <c r="D758" s="166" t="s">
        <v>311</v>
      </c>
      <c r="E758" s="136" t="s">
        <v>312</v>
      </c>
      <c r="F758" s="285" t="n">
        <v>250000</v>
      </c>
      <c r="G758" s="133" t="n">
        <v>8</v>
      </c>
      <c r="H758" s="133" t="n">
        <f aca="false">+G758*F758</f>
        <v>2000000</v>
      </c>
      <c r="I758" s="182" t="n">
        <f aca="false">H758*21%</f>
        <v>420000</v>
      </c>
      <c r="J758" s="182" t="n">
        <f aca="false">H758+I758</f>
        <v>2420000</v>
      </c>
    </row>
    <row r="759" customFormat="false" ht="15" hidden="false" customHeight="true" outlineLevel="0" collapsed="false">
      <c r="A759" s="7"/>
      <c r="B759" s="59"/>
      <c r="C759" s="145"/>
      <c r="D759" s="26" t="s">
        <v>313</v>
      </c>
      <c r="E759" s="173" t="s">
        <v>212</v>
      </c>
      <c r="F759" s="285"/>
      <c r="G759" s="133" t="n">
        <v>10</v>
      </c>
      <c r="H759" s="133" t="n">
        <f aca="false">+G759*F759</f>
        <v>0</v>
      </c>
      <c r="I759" s="182" t="n">
        <f aca="false">H759*21%</f>
        <v>0</v>
      </c>
      <c r="J759" s="182" t="n">
        <f aca="false">H759+I759</f>
        <v>0</v>
      </c>
    </row>
    <row r="760" s="249" customFormat="true" ht="15" hidden="false" customHeight="true" outlineLevel="0" collapsed="false">
      <c r="A760" s="7"/>
      <c r="B760" s="238"/>
      <c r="C760" s="279"/>
      <c r="D760" s="207" t="s">
        <v>216</v>
      </c>
      <c r="E760" s="280"/>
      <c r="F760" s="281"/>
      <c r="G760" s="282"/>
      <c r="H760" s="133"/>
      <c r="I760" s="346"/>
      <c r="J760" s="347"/>
    </row>
    <row r="761" customFormat="false" ht="15" hidden="false" customHeight="true" outlineLevel="0" collapsed="false">
      <c r="A761" s="7"/>
      <c r="B761" s="59"/>
      <c r="C761" s="145"/>
      <c r="D761" s="26" t="s">
        <v>314</v>
      </c>
      <c r="E761" s="136" t="s">
        <v>30</v>
      </c>
      <c r="F761" s="285" t="n">
        <v>0</v>
      </c>
      <c r="G761" s="133" t="n">
        <v>0</v>
      </c>
      <c r="H761" s="133" t="n">
        <f aca="false">F761*G761</f>
        <v>0</v>
      </c>
      <c r="I761" s="182" t="n">
        <f aca="false">SUM(H760:H761)*21%</f>
        <v>0</v>
      </c>
      <c r="J761" s="182" t="n">
        <f aca="false">SUM(H760:H761)+I761</f>
        <v>0</v>
      </c>
    </row>
    <row r="762" customFormat="false" ht="15" hidden="false" customHeight="true" outlineLevel="0" collapsed="false">
      <c r="A762" s="7"/>
      <c r="B762" s="59"/>
      <c r="C762" s="145"/>
      <c r="D762" s="268" t="s">
        <v>315</v>
      </c>
      <c r="E762" s="136" t="s">
        <v>30</v>
      </c>
      <c r="F762" s="285" t="n">
        <v>0</v>
      </c>
      <c r="G762" s="133" t="n">
        <v>0</v>
      </c>
      <c r="H762" s="131" t="n">
        <f aca="false">+G762*F762</f>
        <v>0</v>
      </c>
      <c r="I762" s="182" t="n">
        <f aca="false">SUM(H761:H762)*21%</f>
        <v>0</v>
      </c>
      <c r="J762" s="182" t="n">
        <f aca="false">SUM(H761:H762)+I762</f>
        <v>0</v>
      </c>
    </row>
    <row r="763" s="94" customFormat="true" ht="15" hidden="false" customHeight="true" outlineLevel="0" collapsed="false">
      <c r="A763" s="7"/>
      <c r="B763" s="86"/>
      <c r="C763" s="140" t="n">
        <f aca="false">SUM(C739:C762)</f>
        <v>5</v>
      </c>
      <c r="D763" s="141"/>
      <c r="E763" s="142"/>
      <c r="F763" s="126" t="s">
        <v>316</v>
      </c>
      <c r="G763" s="126"/>
      <c r="H763" s="143" t="n">
        <f aca="false">SUM(H762+H761+H759+H758+H756+H755+H753+H752+H750+H745+H744+H743+H742+H741+H740+H738)</f>
        <v>13915000</v>
      </c>
      <c r="I763" s="144" t="n">
        <f aca="false">SUM(I762+I761+I759+I758+I756+I755+I753+I752+I750+I745+I744+I743+I742+I741+I738)</f>
        <v>2721600</v>
      </c>
      <c r="J763" s="144" t="n">
        <f aca="false">SUM(J762+J761+J759+J758+J756+J755+J753+J752+J750+J745+J744+J743+J742+J741+J740+J738)</f>
        <v>16636600</v>
      </c>
    </row>
    <row r="764" s="113" customFormat="true" ht="30" hidden="false" customHeight="true" outlineLevel="0" collapsed="false">
      <c r="A764" s="7"/>
      <c r="B764" s="18"/>
      <c r="C764" s="118"/>
      <c r="D764" s="109"/>
      <c r="E764" s="119"/>
      <c r="F764" s="120"/>
      <c r="G764" s="120"/>
      <c r="H764" s="121"/>
      <c r="I764" s="112"/>
      <c r="J764" s="112"/>
    </row>
    <row r="765" s="94" customFormat="true" ht="15" hidden="false" customHeight="true" outlineLevel="0" collapsed="false">
      <c r="A765" s="7"/>
      <c r="B765" s="122"/>
      <c r="C765" s="49" t="n">
        <v>20</v>
      </c>
      <c r="D765" s="123" t="s">
        <v>317</v>
      </c>
      <c r="E765" s="124" t="s">
        <v>26</v>
      </c>
      <c r="F765" s="125" t="s">
        <v>27</v>
      </c>
      <c r="G765" s="126" t="s">
        <v>28</v>
      </c>
      <c r="H765" s="127" t="s">
        <v>9</v>
      </c>
      <c r="I765" s="128" t="s">
        <v>10</v>
      </c>
      <c r="J765" s="128" t="s">
        <v>11</v>
      </c>
    </row>
    <row r="766" customFormat="false" ht="15" hidden="false" customHeight="true" outlineLevel="0" collapsed="false">
      <c r="A766" s="7"/>
      <c r="B766" s="59"/>
      <c r="C766" s="42"/>
      <c r="D766" s="139" t="s">
        <v>318</v>
      </c>
      <c r="E766" s="110"/>
      <c r="F766" s="110"/>
      <c r="G766" s="282"/>
      <c r="H766" s="331"/>
      <c r="I766" s="252"/>
      <c r="J766" s="170"/>
    </row>
    <row r="767" customFormat="false" ht="15" hidden="false" customHeight="true" outlineLevel="0" collapsed="false">
      <c r="A767" s="7"/>
      <c r="B767" s="59"/>
      <c r="C767" s="42"/>
      <c r="D767" s="26" t="s">
        <v>319</v>
      </c>
      <c r="E767" s="110"/>
      <c r="F767" s="110"/>
      <c r="G767" s="326"/>
      <c r="H767" s="185"/>
      <c r="I767" s="252"/>
      <c r="J767" s="170"/>
    </row>
    <row r="768" customFormat="false" ht="15" hidden="false" customHeight="true" outlineLevel="0" collapsed="false">
      <c r="A768" s="7"/>
      <c r="B768" s="59"/>
      <c r="C768" s="42"/>
      <c r="D768" s="290"/>
      <c r="E768" s="160" t="s">
        <v>320</v>
      </c>
      <c r="F768" s="146" t="n">
        <f aca="false">(35)*103*5</f>
        <v>18025</v>
      </c>
      <c r="G768" s="133" t="n">
        <v>12</v>
      </c>
      <c r="H768" s="133" t="n">
        <f aca="false">F768*G768</f>
        <v>216300</v>
      </c>
      <c r="I768" s="182" t="n">
        <f aca="false">H768*21%</f>
        <v>45423</v>
      </c>
      <c r="J768" s="182" t="n">
        <f aca="false">H768+I768</f>
        <v>261723</v>
      </c>
      <c r="K768" s="349"/>
    </row>
    <row r="769" s="318" customFormat="true" ht="15" hidden="false" customHeight="true" outlineLevel="0" collapsed="false">
      <c r="A769" s="7"/>
      <c r="B769" s="165"/>
      <c r="C769" s="42"/>
      <c r="D769" s="311" t="s">
        <v>321</v>
      </c>
      <c r="E769" s="350" t="s">
        <v>187</v>
      </c>
      <c r="F769" s="134" t="n">
        <f aca="false">600*103</f>
        <v>61800</v>
      </c>
      <c r="G769" s="134" t="n">
        <v>12</v>
      </c>
      <c r="H769" s="134" t="n">
        <f aca="false">+F769*G769</f>
        <v>741600</v>
      </c>
      <c r="I769" s="289" t="n">
        <f aca="false">H769*21%</f>
        <v>155736</v>
      </c>
      <c r="J769" s="289" t="n">
        <f aca="false">H769+I769</f>
        <v>897336</v>
      </c>
    </row>
    <row r="770" customFormat="false" ht="15" hidden="false" customHeight="true" outlineLevel="0" collapsed="false">
      <c r="A770" s="7"/>
      <c r="B770" s="59"/>
      <c r="C770" s="42"/>
      <c r="D770" s="340" t="s">
        <v>322</v>
      </c>
      <c r="E770" s="280" t="s">
        <v>323</v>
      </c>
      <c r="F770" s="281"/>
      <c r="G770" s="282"/>
      <c r="H770" s="133"/>
      <c r="I770" s="283"/>
      <c r="J770" s="284"/>
    </row>
    <row r="771" customFormat="false" ht="15" hidden="false" customHeight="true" outlineLevel="0" collapsed="false">
      <c r="A771" s="7"/>
      <c r="B771" s="59"/>
      <c r="C771" s="42"/>
      <c r="D771" s="351" t="s">
        <v>324</v>
      </c>
      <c r="E771" s="136" t="s">
        <v>187</v>
      </c>
      <c r="F771" s="133" t="n">
        <f aca="false">6000*22</f>
        <v>132000</v>
      </c>
      <c r="G771" s="133" t="n">
        <v>12</v>
      </c>
      <c r="H771" s="133" t="n">
        <f aca="false">+F771*G771</f>
        <v>1584000</v>
      </c>
      <c r="I771" s="182" t="n">
        <f aca="false">H771*21%</f>
        <v>332640</v>
      </c>
      <c r="J771" s="182" t="n">
        <f aca="false">H771+I771</f>
        <v>1916640</v>
      </c>
    </row>
    <row r="772" s="94" customFormat="true" ht="15" hidden="false" customHeight="true" outlineLevel="0" collapsed="false">
      <c r="A772" s="7"/>
      <c r="B772" s="86"/>
      <c r="C772" s="140" t="n">
        <f aca="false">SUM(C766:C771)</f>
        <v>0</v>
      </c>
      <c r="D772" s="141"/>
      <c r="E772" s="142"/>
      <c r="F772" s="126" t="s">
        <v>325</v>
      </c>
      <c r="G772" s="126"/>
      <c r="H772" s="143" t="n">
        <f aca="false">SUM(H771+H769+H768)</f>
        <v>2541900</v>
      </c>
      <c r="I772" s="144" t="n">
        <f aca="false">SUM(I771+I769+I768)</f>
        <v>533799</v>
      </c>
      <c r="J772" s="144" t="n">
        <f aca="false">SUM(J771+J769+J768)</f>
        <v>3075699</v>
      </c>
    </row>
    <row r="773" s="113" customFormat="true" ht="30" hidden="false" customHeight="true" outlineLevel="0" collapsed="false">
      <c r="A773" s="7"/>
      <c r="B773" s="18"/>
      <c r="C773" s="118"/>
      <c r="D773" s="109"/>
      <c r="E773" s="119"/>
      <c r="F773" s="120"/>
      <c r="G773" s="120"/>
      <c r="H773" s="121"/>
      <c r="I773" s="112"/>
      <c r="J773" s="112"/>
    </row>
    <row r="774" s="94" customFormat="true" ht="15" hidden="false" customHeight="true" outlineLevel="0" collapsed="false">
      <c r="A774" s="7"/>
      <c r="B774" s="122"/>
      <c r="C774" s="49" t="n">
        <v>21</v>
      </c>
      <c r="D774" s="123" t="s">
        <v>326</v>
      </c>
      <c r="E774" s="124" t="s">
        <v>26</v>
      </c>
      <c r="F774" s="125" t="s">
        <v>27</v>
      </c>
      <c r="G774" s="126" t="s">
        <v>28</v>
      </c>
      <c r="H774" s="127" t="s">
        <v>9</v>
      </c>
      <c r="I774" s="128" t="s">
        <v>10</v>
      </c>
      <c r="J774" s="128" t="s">
        <v>11</v>
      </c>
    </row>
    <row r="775" s="25" customFormat="true" ht="15" hidden="false" customHeight="true" outlineLevel="0" collapsed="false">
      <c r="A775" s="7"/>
      <c r="B775" s="59"/>
      <c r="C775" s="42"/>
      <c r="D775" s="207" t="s">
        <v>327</v>
      </c>
      <c r="E775" s="352" t="s">
        <v>328</v>
      </c>
      <c r="F775" s="353"/>
      <c r="G775" s="354" t="s">
        <v>3</v>
      </c>
      <c r="H775" s="169"/>
      <c r="I775" s="296"/>
      <c r="J775" s="297"/>
    </row>
    <row r="776" customFormat="false" ht="15" hidden="false" customHeight="true" outlineLevel="0" collapsed="false">
      <c r="A776" s="7"/>
      <c r="B776" s="59"/>
      <c r="C776" s="42"/>
      <c r="D776" s="355" t="s">
        <v>329</v>
      </c>
      <c r="E776" s="356" t="n">
        <v>45</v>
      </c>
      <c r="F776" s="314" t="n">
        <v>2300</v>
      </c>
      <c r="G776" s="356" t="n">
        <v>66</v>
      </c>
      <c r="H776" s="133" t="n">
        <f aca="false">+E776*F776*G776</f>
        <v>6831000</v>
      </c>
      <c r="I776" s="182" t="n">
        <f aca="false">H776*21%</f>
        <v>1434510</v>
      </c>
      <c r="J776" s="182" t="n">
        <f aca="false">I776+H776</f>
        <v>8265510</v>
      </c>
    </row>
    <row r="777" customFormat="false" ht="15" hidden="false" customHeight="true" outlineLevel="0" collapsed="false">
      <c r="A777" s="7"/>
      <c r="B777" s="59"/>
      <c r="C777" s="42"/>
      <c r="D777" s="175"/>
      <c r="E777" s="357"/>
      <c r="F777" s="133"/>
      <c r="G777" s="358"/>
      <c r="H777" s="133"/>
      <c r="I777" s="182"/>
      <c r="J777" s="182"/>
    </row>
    <row r="778" s="249" customFormat="true" ht="15" hidden="false" customHeight="true" outlineLevel="0" collapsed="false">
      <c r="A778" s="7"/>
      <c r="B778" s="238"/>
      <c r="C778" s="279"/>
      <c r="D778" s="207" t="s">
        <v>216</v>
      </c>
      <c r="E778" s="280"/>
      <c r="F778" s="281"/>
      <c r="G778" s="282"/>
      <c r="H778" s="133"/>
      <c r="I778" s="182"/>
      <c r="J778" s="182"/>
    </row>
    <row r="779" customFormat="false" ht="15" hidden="false" customHeight="true" outlineLevel="0" collapsed="false">
      <c r="A779" s="7"/>
      <c r="B779" s="59"/>
      <c r="C779" s="42"/>
      <c r="D779" s="166" t="s">
        <v>330</v>
      </c>
      <c r="E779" s="136" t="s">
        <v>30</v>
      </c>
      <c r="F779" s="133" t="n">
        <v>1800</v>
      </c>
      <c r="G779" s="133" t="n">
        <v>26</v>
      </c>
      <c r="H779" s="133" t="n">
        <f aca="false">F779*G779</f>
        <v>46800</v>
      </c>
      <c r="I779" s="182" t="n">
        <v>0</v>
      </c>
      <c r="J779" s="182" t="n">
        <f aca="false">SUM(H779)+I779</f>
        <v>46800</v>
      </c>
    </row>
    <row r="780" customFormat="false" ht="15" hidden="false" customHeight="true" outlineLevel="0" collapsed="false">
      <c r="A780" s="7"/>
      <c r="B780" s="59"/>
      <c r="C780" s="42"/>
      <c r="D780" s="268" t="s">
        <v>331</v>
      </c>
      <c r="E780" s="173" t="s">
        <v>30</v>
      </c>
      <c r="F780" s="133" t="n">
        <v>1500</v>
      </c>
      <c r="G780" s="133" t="n">
        <v>15</v>
      </c>
      <c r="H780" s="133" t="n">
        <f aca="false">F780*G780</f>
        <v>22500</v>
      </c>
      <c r="I780" s="182" t="n">
        <v>0</v>
      </c>
      <c r="J780" s="182" t="n">
        <f aca="false">SUM(H780)+I780</f>
        <v>22500</v>
      </c>
    </row>
    <row r="781" s="94" customFormat="true" ht="15" hidden="false" customHeight="true" outlineLevel="0" collapsed="false">
      <c r="A781" s="7"/>
      <c r="B781" s="86"/>
      <c r="C781" s="140" t="n">
        <f aca="false">SUM(C775:C780)</f>
        <v>0</v>
      </c>
      <c r="D781" s="141"/>
      <c r="E781" s="142"/>
      <c r="F781" s="126" t="s">
        <v>332</v>
      </c>
      <c r="G781" s="126"/>
      <c r="H781" s="143" t="n">
        <f aca="false">SUM(H776:H780)</f>
        <v>6900300</v>
      </c>
      <c r="I781" s="144" t="n">
        <f aca="false">SUM(I775:I780)</f>
        <v>1434510</v>
      </c>
      <c r="J781" s="144" t="n">
        <f aca="false">SUM(J775:J780)</f>
        <v>8334810</v>
      </c>
    </row>
    <row r="782" s="113" customFormat="true" ht="30" hidden="false" customHeight="true" outlineLevel="0" collapsed="false">
      <c r="A782" s="7"/>
      <c r="B782" s="18"/>
      <c r="C782" s="118"/>
      <c r="D782" s="109"/>
      <c r="E782" s="119"/>
      <c r="F782" s="120"/>
      <c r="G782" s="120"/>
      <c r="H782" s="121"/>
      <c r="I782" s="112"/>
      <c r="J782" s="112"/>
    </row>
    <row r="783" s="94" customFormat="true" ht="15" hidden="false" customHeight="true" outlineLevel="0" collapsed="false">
      <c r="A783" s="7"/>
      <c r="B783" s="122"/>
      <c r="C783" s="49" t="n">
        <v>22</v>
      </c>
      <c r="D783" s="123" t="s">
        <v>333</v>
      </c>
      <c r="E783" s="124" t="s">
        <v>26</v>
      </c>
      <c r="F783" s="125" t="s">
        <v>27</v>
      </c>
      <c r="G783" s="126" t="s">
        <v>28</v>
      </c>
      <c r="H783" s="127" t="s">
        <v>9</v>
      </c>
      <c r="I783" s="128" t="s">
        <v>10</v>
      </c>
      <c r="J783" s="128" t="s">
        <v>11</v>
      </c>
    </row>
    <row r="784" customFormat="false" ht="15" hidden="false" customHeight="true" outlineLevel="0" collapsed="false">
      <c r="A784" s="7"/>
      <c r="B784" s="59"/>
      <c r="C784" s="42"/>
      <c r="D784" s="135" t="s">
        <v>334</v>
      </c>
      <c r="E784" s="359" t="s">
        <v>61</v>
      </c>
      <c r="F784" s="133" t="n">
        <v>100000</v>
      </c>
      <c r="G784" s="133" t="n">
        <v>5</v>
      </c>
      <c r="H784" s="133" t="n">
        <f aca="false">F784*G784</f>
        <v>500000</v>
      </c>
      <c r="I784" s="182" t="n">
        <f aca="false">H784*21%</f>
        <v>105000</v>
      </c>
      <c r="J784" s="182" t="n">
        <f aca="false">H784+I784</f>
        <v>605000</v>
      </c>
    </row>
    <row r="785" customFormat="false" ht="15" hidden="false" customHeight="true" outlineLevel="0" collapsed="false">
      <c r="A785" s="7"/>
      <c r="B785" s="59"/>
      <c r="C785" s="42"/>
      <c r="D785" s="135" t="s">
        <v>335</v>
      </c>
      <c r="E785" s="359" t="s">
        <v>61</v>
      </c>
      <c r="F785" s="133" t="n">
        <v>62000</v>
      </c>
      <c r="G785" s="133" t="n">
        <v>4.5</v>
      </c>
      <c r="H785" s="133" t="n">
        <f aca="false">F785*G785</f>
        <v>279000</v>
      </c>
      <c r="I785" s="182" t="n">
        <v>0</v>
      </c>
      <c r="J785" s="182" t="n">
        <f aca="false">H785+I785</f>
        <v>279000</v>
      </c>
    </row>
    <row r="786" customFormat="false" ht="15" hidden="false" customHeight="true" outlineLevel="0" collapsed="false">
      <c r="A786" s="7"/>
      <c r="B786" s="59"/>
      <c r="C786" s="42"/>
      <c r="D786" s="135" t="s">
        <v>336</v>
      </c>
      <c r="E786" s="359" t="s">
        <v>61</v>
      </c>
      <c r="F786" s="133" t="n">
        <v>20000</v>
      </c>
      <c r="G786" s="133" t="n">
        <v>4.5</v>
      </c>
      <c r="H786" s="133" t="n">
        <f aca="false">F786*G786</f>
        <v>90000</v>
      </c>
      <c r="I786" s="182" t="n">
        <f aca="false">H786*21%</f>
        <v>18900</v>
      </c>
      <c r="J786" s="182" t="n">
        <f aca="false">H786+I786</f>
        <v>108900</v>
      </c>
    </row>
    <row r="787" customFormat="false" ht="15" hidden="false" customHeight="true" outlineLevel="0" collapsed="false">
      <c r="A787" s="7"/>
      <c r="B787" s="59"/>
      <c r="C787" s="42"/>
      <c r="D787" s="135" t="s">
        <v>337</v>
      </c>
      <c r="E787" s="359" t="s">
        <v>61</v>
      </c>
      <c r="F787" s="133" t="n">
        <v>40000</v>
      </c>
      <c r="G787" s="133" t="n">
        <v>5</v>
      </c>
      <c r="H787" s="133" t="n">
        <f aca="false">F787*G787</f>
        <v>200000</v>
      </c>
      <c r="I787" s="182" t="n">
        <f aca="false">H787*21%</f>
        <v>42000</v>
      </c>
      <c r="J787" s="182" t="n">
        <f aca="false">+H787+I787</f>
        <v>242000</v>
      </c>
    </row>
    <row r="788" customFormat="false" ht="15" hidden="false" customHeight="true" outlineLevel="0" collapsed="false">
      <c r="A788" s="7"/>
      <c r="B788" s="59"/>
      <c r="C788" s="42"/>
      <c r="D788" s="135" t="s">
        <v>338</v>
      </c>
      <c r="E788" s="359" t="s">
        <v>61</v>
      </c>
      <c r="F788" s="133" t="n">
        <v>5000</v>
      </c>
      <c r="G788" s="133" t="n">
        <v>4.5</v>
      </c>
      <c r="H788" s="133" t="n">
        <f aca="false">F788*G788</f>
        <v>22500</v>
      </c>
      <c r="I788" s="182" t="n">
        <f aca="false">H788*21%</f>
        <v>4725</v>
      </c>
      <c r="J788" s="182" t="n">
        <f aca="false">H788+I788</f>
        <v>27225</v>
      </c>
    </row>
    <row r="789" customFormat="false" ht="15" hidden="false" customHeight="true" outlineLevel="0" collapsed="false">
      <c r="A789" s="7"/>
      <c r="B789" s="59"/>
      <c r="C789" s="42"/>
      <c r="D789" s="135" t="s">
        <v>339</v>
      </c>
      <c r="E789" s="360" t="s">
        <v>121</v>
      </c>
      <c r="F789" s="133" t="n">
        <f aca="false">1500*20</f>
        <v>30000</v>
      </c>
      <c r="G789" s="133" t="n">
        <v>5</v>
      </c>
      <c r="H789" s="133" t="n">
        <f aca="false">F789*G789</f>
        <v>150000</v>
      </c>
      <c r="I789" s="182" t="n">
        <f aca="false">H789*21%</f>
        <v>31500</v>
      </c>
      <c r="J789" s="182" t="n">
        <f aca="false">H789+I789</f>
        <v>181500</v>
      </c>
    </row>
    <row r="790" customFormat="false" ht="15" hidden="false" customHeight="true" outlineLevel="0" collapsed="false">
      <c r="A790" s="7"/>
      <c r="B790" s="59"/>
      <c r="C790" s="42"/>
      <c r="D790" s="135" t="s">
        <v>340</v>
      </c>
      <c r="E790" s="136" t="s">
        <v>30</v>
      </c>
      <c r="F790" s="133" t="n">
        <v>230000</v>
      </c>
      <c r="G790" s="133" t="n">
        <v>1</v>
      </c>
      <c r="H790" s="133" t="n">
        <f aca="false">F790*G790</f>
        <v>230000</v>
      </c>
      <c r="I790" s="182" t="n">
        <v>0</v>
      </c>
      <c r="J790" s="182" t="n">
        <f aca="false">H790+I790</f>
        <v>230000</v>
      </c>
    </row>
    <row r="791" customFormat="false" ht="15" hidden="false" customHeight="true" outlineLevel="0" collapsed="false">
      <c r="A791" s="7"/>
      <c r="B791" s="59"/>
      <c r="C791" s="42"/>
      <c r="D791" s="135" t="s">
        <v>341</v>
      </c>
      <c r="E791" s="359" t="s">
        <v>61</v>
      </c>
      <c r="F791" s="133" t="n">
        <v>150000</v>
      </c>
      <c r="G791" s="133" t="n">
        <v>1</v>
      </c>
      <c r="H791" s="133" t="n">
        <f aca="false">F791*G791</f>
        <v>150000</v>
      </c>
      <c r="I791" s="182" t="n">
        <v>0</v>
      </c>
      <c r="J791" s="182" t="n">
        <f aca="false">H791+I791</f>
        <v>150000</v>
      </c>
    </row>
    <row r="792" customFormat="false" ht="15" hidden="false" customHeight="true" outlineLevel="0" collapsed="false">
      <c r="A792" s="7"/>
      <c r="B792" s="59"/>
      <c r="C792" s="42"/>
      <c r="D792" s="135" t="s">
        <v>342</v>
      </c>
      <c r="E792" s="359" t="s">
        <v>30</v>
      </c>
      <c r="F792" s="133" t="n">
        <v>80000</v>
      </c>
      <c r="G792" s="133" t="n">
        <v>1</v>
      </c>
      <c r="H792" s="133" t="n">
        <f aca="false">F792*G792</f>
        <v>80000</v>
      </c>
      <c r="I792" s="182" t="n">
        <f aca="false">H792*21%</f>
        <v>16800</v>
      </c>
      <c r="J792" s="182" t="n">
        <f aca="false">H792+I792</f>
        <v>96800</v>
      </c>
    </row>
    <row r="793" customFormat="false" ht="15" hidden="false" customHeight="true" outlineLevel="0" collapsed="false">
      <c r="A793" s="7"/>
      <c r="B793" s="59"/>
      <c r="C793" s="42"/>
      <c r="D793" s="135" t="s">
        <v>343</v>
      </c>
      <c r="E793" s="360" t="s">
        <v>61</v>
      </c>
      <c r="F793" s="133" t="n">
        <v>40000</v>
      </c>
      <c r="G793" s="133" t="n">
        <v>4.5</v>
      </c>
      <c r="H793" s="133" t="n">
        <f aca="false">F793*G793</f>
        <v>180000</v>
      </c>
      <c r="I793" s="182" t="n">
        <f aca="false">+H793*21%</f>
        <v>37800</v>
      </c>
      <c r="J793" s="182" t="n">
        <f aca="false">+H793+I793</f>
        <v>217800</v>
      </c>
    </row>
    <row r="794" customFormat="false" ht="15" hidden="false" customHeight="true" outlineLevel="0" collapsed="false">
      <c r="A794" s="7"/>
      <c r="B794" s="59"/>
      <c r="C794" s="42"/>
      <c r="D794" s="135" t="s">
        <v>344</v>
      </c>
      <c r="E794" s="360" t="s">
        <v>121</v>
      </c>
      <c r="F794" s="133" t="n">
        <v>670000</v>
      </c>
      <c r="G794" s="133" t="n">
        <v>1</v>
      </c>
      <c r="H794" s="133" t="n">
        <f aca="false">F794*G794</f>
        <v>670000</v>
      </c>
      <c r="I794" s="182" t="n">
        <f aca="false">+H794*21%</f>
        <v>140700</v>
      </c>
      <c r="J794" s="182" t="n">
        <f aca="false">+H794+I794</f>
        <v>810700</v>
      </c>
    </row>
    <row r="795" customFormat="false" ht="15" hidden="false" customHeight="true" outlineLevel="0" collapsed="false">
      <c r="A795" s="7"/>
      <c r="B795" s="59"/>
      <c r="C795" s="42"/>
      <c r="D795" s="135" t="s">
        <v>345</v>
      </c>
      <c r="E795" s="360" t="s">
        <v>61</v>
      </c>
      <c r="F795" s="133" t="n">
        <v>17000</v>
      </c>
      <c r="G795" s="133" t="n">
        <v>4.5</v>
      </c>
      <c r="H795" s="133" t="n">
        <f aca="false">F795*G795</f>
        <v>76500</v>
      </c>
      <c r="I795" s="182" t="n">
        <f aca="false">+H795*21%</f>
        <v>16065</v>
      </c>
      <c r="J795" s="182" t="n">
        <f aca="false">+H795+I795</f>
        <v>92565</v>
      </c>
    </row>
    <row r="796" customFormat="false" ht="15" hidden="false" customHeight="true" outlineLevel="0" collapsed="false">
      <c r="A796" s="7"/>
      <c r="B796" s="59"/>
      <c r="C796" s="145"/>
      <c r="D796" s="139" t="s">
        <v>346</v>
      </c>
      <c r="E796" s="136" t="s">
        <v>30</v>
      </c>
      <c r="F796" s="133" t="n">
        <v>0</v>
      </c>
      <c r="G796" s="133" t="n">
        <v>1</v>
      </c>
      <c r="H796" s="133" t="n">
        <f aca="false">F796*G796</f>
        <v>0</v>
      </c>
      <c r="I796" s="182" t="n">
        <v>0</v>
      </c>
      <c r="J796" s="182" t="n">
        <f aca="false">H796+I796</f>
        <v>0</v>
      </c>
    </row>
    <row r="797" s="94" customFormat="true" ht="15" hidden="false" customHeight="true" outlineLevel="0" collapsed="false">
      <c r="A797" s="7"/>
      <c r="B797" s="86"/>
      <c r="C797" s="140" t="n">
        <f aca="false">SUM(C784:C796)</f>
        <v>0</v>
      </c>
      <c r="D797" s="141"/>
      <c r="E797" s="142"/>
      <c r="F797" s="126" t="s">
        <v>347</v>
      </c>
      <c r="G797" s="126"/>
      <c r="H797" s="143" t="n">
        <f aca="false">SUM(H784:H796)</f>
        <v>2628000</v>
      </c>
      <c r="I797" s="144" t="n">
        <f aca="false">SUM(I784:I796)</f>
        <v>413490</v>
      </c>
      <c r="J797" s="144" t="n">
        <f aca="false">SUM(J784:J796)</f>
        <v>3041490</v>
      </c>
    </row>
    <row r="798" s="113" customFormat="true" ht="30" hidden="false" customHeight="true" outlineLevel="0" collapsed="false">
      <c r="A798" s="7"/>
      <c r="B798" s="18"/>
      <c r="C798" s="118"/>
      <c r="D798" s="109"/>
      <c r="E798" s="119"/>
      <c r="F798" s="120"/>
      <c r="G798" s="120"/>
      <c r="H798" s="121"/>
      <c r="I798" s="112"/>
      <c r="J798" s="112"/>
    </row>
    <row r="799" s="94" customFormat="true" ht="15" hidden="false" customHeight="true" outlineLevel="0" collapsed="false">
      <c r="A799" s="7"/>
      <c r="B799" s="122"/>
      <c r="C799" s="49" t="n">
        <v>23</v>
      </c>
      <c r="D799" s="123" t="s">
        <v>348</v>
      </c>
      <c r="E799" s="124" t="s">
        <v>26</v>
      </c>
      <c r="F799" s="125" t="s">
        <v>27</v>
      </c>
      <c r="G799" s="126" t="s">
        <v>28</v>
      </c>
      <c r="H799" s="127" t="s">
        <v>9</v>
      </c>
      <c r="I799" s="128" t="s">
        <v>10</v>
      </c>
      <c r="J799" s="128" t="s">
        <v>11</v>
      </c>
    </row>
    <row r="800" s="249" customFormat="true" ht="15" hidden="false" customHeight="true" outlineLevel="0" collapsed="false">
      <c r="A800" s="7"/>
      <c r="B800" s="238"/>
      <c r="C800" s="145"/>
      <c r="D800" s="207" t="s">
        <v>349</v>
      </c>
      <c r="E800" s="239"/>
      <c r="F800" s="240"/>
      <c r="G800" s="361"/>
      <c r="H800" s="362"/>
      <c r="I800" s="242"/>
      <c r="J800" s="243"/>
    </row>
    <row r="801" customFormat="false" ht="15" hidden="false" customHeight="true" outlineLevel="0" collapsed="false">
      <c r="A801" s="7"/>
      <c r="B801" s="59"/>
      <c r="C801" s="42"/>
      <c r="D801" s="363" t="s">
        <v>350</v>
      </c>
      <c r="E801" s="136" t="s">
        <v>121</v>
      </c>
      <c r="F801" s="133" t="n">
        <f aca="false">SUM(H728)*0.02</f>
        <v>584555</v>
      </c>
      <c r="G801" s="133" t="n">
        <v>1</v>
      </c>
      <c r="H801" s="133" t="n">
        <f aca="false">F801*G801:G801</f>
        <v>584555</v>
      </c>
      <c r="I801" s="182" t="n">
        <f aca="false">H801*21%</f>
        <v>122756.55</v>
      </c>
      <c r="J801" s="182" t="n">
        <f aca="false">H801+I801</f>
        <v>707311.55</v>
      </c>
    </row>
    <row r="802" s="25" customFormat="true" ht="15" hidden="false" customHeight="true" outlineLevel="0" collapsed="false">
      <c r="A802" s="7"/>
      <c r="B802" s="59"/>
      <c r="C802" s="42"/>
      <c r="D802" s="139" t="s">
        <v>351</v>
      </c>
      <c r="E802" s="173" t="s">
        <v>61</v>
      </c>
      <c r="F802" s="133" t="n">
        <v>11000</v>
      </c>
      <c r="G802" s="133" t="n">
        <v>4.5</v>
      </c>
      <c r="H802" s="133" t="n">
        <f aca="false">F802*G802</f>
        <v>49500</v>
      </c>
      <c r="I802" s="182" t="n">
        <f aca="false">H802*21%</f>
        <v>10395</v>
      </c>
      <c r="J802" s="182" t="n">
        <f aca="false">H802+I802</f>
        <v>59895</v>
      </c>
    </row>
    <row r="803" s="94" customFormat="true" ht="15" hidden="false" customHeight="true" outlineLevel="0" collapsed="false">
      <c r="A803" s="7"/>
      <c r="B803" s="86"/>
      <c r="C803" s="192" t="n">
        <f aca="false">SUM(C800:C802)</f>
        <v>0</v>
      </c>
      <c r="D803" s="141"/>
      <c r="E803" s="142"/>
      <c r="F803" s="364" t="s">
        <v>352</v>
      </c>
      <c r="G803" s="364"/>
      <c r="H803" s="143" t="n">
        <f aca="false">SUM(H801:H802)</f>
        <v>634055</v>
      </c>
      <c r="I803" s="144" t="n">
        <f aca="false">SUM(I801:I802)</f>
        <v>133151.55</v>
      </c>
      <c r="J803" s="144" t="n">
        <f aca="false">SUM(J801:J802)</f>
        <v>767206.55</v>
      </c>
    </row>
    <row r="804" s="94" customFormat="true" ht="26.25" hidden="false" customHeight="true" outlineLevel="0" collapsed="false">
      <c r="A804" s="7"/>
      <c r="B804" s="86"/>
      <c r="C804" s="365"/>
      <c r="D804" s="141"/>
      <c r="E804" s="142"/>
      <c r="F804" s="366"/>
      <c r="G804" s="366"/>
      <c r="H804" s="367"/>
      <c r="I804" s="367"/>
      <c r="J804" s="367"/>
    </row>
    <row r="805" s="94" customFormat="true" ht="15" hidden="false" customHeight="true" outlineLevel="0" collapsed="false">
      <c r="A805" s="7"/>
      <c r="B805" s="122"/>
      <c r="C805" s="49" t="n">
        <v>24</v>
      </c>
      <c r="D805" s="123" t="s">
        <v>16</v>
      </c>
      <c r="E805" s="124" t="s">
        <v>26</v>
      </c>
      <c r="F805" s="368" t="s">
        <v>27</v>
      </c>
      <c r="G805" s="126" t="s">
        <v>28</v>
      </c>
      <c r="H805" s="127" t="s">
        <v>9</v>
      </c>
      <c r="I805" s="128" t="s">
        <v>10</v>
      </c>
      <c r="J805" s="128" t="s">
        <v>11</v>
      </c>
    </row>
    <row r="806" customFormat="false" ht="15" hidden="false" customHeight="true" outlineLevel="0" collapsed="false">
      <c r="A806" s="7"/>
      <c r="B806" s="59"/>
      <c r="C806" s="145" t="n">
        <v>1</v>
      </c>
      <c r="D806" s="369" t="s">
        <v>353</v>
      </c>
      <c r="E806" s="136" t="s">
        <v>121</v>
      </c>
      <c r="F806" s="133" t="n">
        <v>370000</v>
      </c>
      <c r="G806" s="133" t="n">
        <v>1</v>
      </c>
      <c r="H806" s="133" t="n">
        <f aca="false">G806*F806</f>
        <v>370000</v>
      </c>
      <c r="I806" s="182" t="n">
        <f aca="false">+H806*21%</f>
        <v>77700</v>
      </c>
      <c r="J806" s="182" t="n">
        <f aca="false">SUM(H806:I806)</f>
        <v>447700</v>
      </c>
    </row>
    <row r="807" s="94" customFormat="true" ht="15" hidden="false" customHeight="true" outlineLevel="0" collapsed="false">
      <c r="A807" s="7"/>
      <c r="B807" s="86"/>
      <c r="C807" s="140" t="n">
        <f aca="false">SUM(C806:C806)</f>
        <v>1</v>
      </c>
      <c r="D807" s="141"/>
      <c r="E807" s="142"/>
      <c r="F807" s="126" t="s">
        <v>354</v>
      </c>
      <c r="G807" s="126"/>
      <c r="H807" s="197" t="n">
        <f aca="false">SUM(H806:H806)</f>
        <v>370000</v>
      </c>
      <c r="I807" s="198" t="n">
        <f aca="false">SUM(I806:I806)</f>
        <v>77700</v>
      </c>
      <c r="J807" s="198" t="n">
        <f aca="false">SUM(J806:J806)</f>
        <v>447700</v>
      </c>
    </row>
    <row r="808" s="113" customFormat="true" ht="30" hidden="false" customHeight="true" outlineLevel="0" collapsed="false">
      <c r="A808" s="7"/>
      <c r="B808" s="18"/>
      <c r="C808" s="118"/>
      <c r="D808" s="109"/>
      <c r="E808" s="119"/>
      <c r="F808" s="120"/>
      <c r="G808" s="120"/>
      <c r="H808" s="121"/>
      <c r="I808" s="112"/>
      <c r="J808" s="112"/>
    </row>
    <row r="809" s="94" customFormat="true" ht="15" hidden="false" customHeight="true" outlineLevel="0" collapsed="false">
      <c r="A809" s="7"/>
      <c r="B809" s="122"/>
      <c r="C809" s="49" t="n">
        <v>25</v>
      </c>
      <c r="D809" s="123" t="s">
        <v>355</v>
      </c>
      <c r="E809" s="124" t="s">
        <v>26</v>
      </c>
      <c r="F809" s="125" t="s">
        <v>27</v>
      </c>
      <c r="G809" s="126" t="s">
        <v>28</v>
      </c>
      <c r="H809" s="127" t="s">
        <v>9</v>
      </c>
      <c r="I809" s="128" t="s">
        <v>10</v>
      </c>
      <c r="J809" s="128" t="s">
        <v>11</v>
      </c>
    </row>
    <row r="810" customFormat="false" ht="15" hidden="false" customHeight="true" outlineLevel="0" collapsed="false">
      <c r="A810" s="7"/>
      <c r="B810" s="59"/>
      <c r="C810" s="145" t="n">
        <v>1</v>
      </c>
      <c r="D810" s="135" t="s">
        <v>356</v>
      </c>
      <c r="E810" s="136" t="s">
        <v>115</v>
      </c>
      <c r="F810" s="133" t="n">
        <v>2700</v>
      </c>
      <c r="G810" s="133" t="n">
        <v>50</v>
      </c>
      <c r="H810" s="133" t="n">
        <f aca="false">G810*F810</f>
        <v>135000</v>
      </c>
      <c r="I810" s="182" t="n">
        <f aca="false">H810*21%</f>
        <v>28350</v>
      </c>
      <c r="J810" s="182" t="n">
        <f aca="false">H810+I810</f>
        <v>163350</v>
      </c>
    </row>
    <row r="811" s="94" customFormat="true" ht="15" hidden="false" customHeight="true" outlineLevel="0" collapsed="false">
      <c r="A811" s="7"/>
      <c r="B811" s="86"/>
      <c r="C811" s="370" t="n">
        <f aca="false">SUM(C810:C810)</f>
        <v>1</v>
      </c>
      <c r="D811" s="141"/>
      <c r="E811" s="142"/>
      <c r="F811" s="126" t="s">
        <v>357</v>
      </c>
      <c r="G811" s="126"/>
      <c r="H811" s="197" t="n">
        <f aca="false">SUM(H810:H810)</f>
        <v>135000</v>
      </c>
      <c r="I811" s="198" t="n">
        <f aca="false">SUM(I810:I810)</f>
        <v>28350</v>
      </c>
      <c r="J811" s="198" t="n">
        <f aca="false">SUM(J810:J810)</f>
        <v>163350</v>
      </c>
    </row>
    <row r="812" s="374" customFormat="true" ht="15" hidden="false" customHeight="true" outlineLevel="0" collapsed="false">
      <c r="A812" s="371"/>
      <c r="B812" s="372"/>
      <c r="C812" s="373"/>
      <c r="D812" s="202"/>
      <c r="E812" s="203"/>
      <c r="F812" s="204"/>
      <c r="G812" s="204"/>
      <c r="H812" s="205"/>
      <c r="I812" s="205"/>
      <c r="J812" s="205"/>
    </row>
    <row r="813" s="94" customFormat="true" ht="15" hidden="false" customHeight="true" outlineLevel="0" collapsed="false">
      <c r="A813" s="7"/>
      <c r="B813" s="122"/>
      <c r="C813" s="49" t="n">
        <v>26</v>
      </c>
      <c r="D813" s="123" t="s">
        <v>17</v>
      </c>
      <c r="E813" s="124" t="s">
        <v>26</v>
      </c>
      <c r="F813" s="125" t="s">
        <v>27</v>
      </c>
      <c r="G813" s="126" t="s">
        <v>28</v>
      </c>
      <c r="H813" s="127" t="s">
        <v>9</v>
      </c>
      <c r="I813" s="128" t="s">
        <v>10</v>
      </c>
      <c r="J813" s="128" t="s">
        <v>11</v>
      </c>
    </row>
    <row r="814" customFormat="false" ht="15" hidden="false" customHeight="true" outlineLevel="0" collapsed="false">
      <c r="A814" s="7"/>
      <c r="B814" s="59"/>
      <c r="C814" s="145"/>
      <c r="D814" s="135" t="s">
        <v>358</v>
      </c>
      <c r="E814" s="375" t="n">
        <v>0.012</v>
      </c>
      <c r="F814" s="133" t="n">
        <f aca="false">SUM(J811+J807+J803+J797+J781+J772+J763+J734+J728+J693+J687+J676+J668+J660+J655+J632+J626+J619+J610+J594+J587+J551+J93+J86+J80+J820)</f>
        <v>267476495.086753</v>
      </c>
      <c r="G814" s="133" t="n">
        <v>1</v>
      </c>
      <c r="H814" s="133" t="n">
        <f aca="false">+G814*F814*E814</f>
        <v>3209717.94104103</v>
      </c>
      <c r="I814" s="182" t="n">
        <v>0</v>
      </c>
      <c r="J814" s="182" t="n">
        <f aca="false">I814+H814</f>
        <v>3209717.94104103</v>
      </c>
    </row>
    <row r="815" customFormat="false" ht="15" hidden="false" customHeight="true" outlineLevel="0" collapsed="false">
      <c r="A815" s="7"/>
      <c r="B815" s="59"/>
      <c r="C815" s="145"/>
      <c r="D815" s="135" t="s">
        <v>359</v>
      </c>
      <c r="E815" s="375" t="n">
        <v>0.05</v>
      </c>
      <c r="F815" s="133" t="n">
        <f aca="false">SUM(H811+H807+H803+H797+H781+H772+H763+H734+H728+H693+H687+H676+H668+H660+H655+H632+H626+H619+H610+H594+H587+H551+H93+H86+H80)</f>
        <v>238890688.152187</v>
      </c>
      <c r="G815" s="133" t="n">
        <v>1</v>
      </c>
      <c r="H815" s="133" t="n">
        <f aca="false">+G815*F815*E815</f>
        <v>11944534.4076094</v>
      </c>
      <c r="I815" s="182"/>
      <c r="J815" s="182" t="n">
        <f aca="false">I815+H815</f>
        <v>11944534.4076094</v>
      </c>
    </row>
    <row r="816" customFormat="false" ht="15" hidden="false" customHeight="true" outlineLevel="0" collapsed="false">
      <c r="A816" s="7"/>
      <c r="B816" s="59"/>
      <c r="C816" s="145"/>
      <c r="D816" s="135" t="s">
        <v>360</v>
      </c>
      <c r="E816" s="375" t="n">
        <v>0.21</v>
      </c>
      <c r="F816" s="133"/>
      <c r="G816" s="133"/>
      <c r="H816" s="133"/>
      <c r="I816" s="182" t="n">
        <v>0</v>
      </c>
      <c r="J816" s="182" t="n">
        <f aca="false">H816</f>
        <v>0</v>
      </c>
    </row>
    <row r="817" customFormat="false" ht="15" hidden="false" customHeight="true" outlineLevel="0" collapsed="false">
      <c r="A817" s="7"/>
      <c r="B817" s="59"/>
      <c r="C817" s="145"/>
      <c r="D817" s="376"/>
      <c r="E817" s="377"/>
      <c r="F817" s="126" t="s">
        <v>361</v>
      </c>
      <c r="G817" s="126"/>
      <c r="H817" s="197" t="n">
        <f aca="false">SUM(H814:H816)</f>
        <v>15154252.3486504</v>
      </c>
      <c r="I817" s="198" t="n">
        <f aca="false">SUM(I816:I816)</f>
        <v>0</v>
      </c>
      <c r="J817" s="198" t="n">
        <f aca="false">SUM(H817:I817)</f>
        <v>15154252.3486504</v>
      </c>
    </row>
    <row r="818" s="374" customFormat="true" ht="15" hidden="false" customHeight="true" outlineLevel="0" collapsed="false">
      <c r="A818" s="371"/>
      <c r="B818" s="378"/>
      <c r="C818" s="379"/>
      <c r="D818" s="141"/>
      <c r="E818" s="142"/>
      <c r="F818" s="101"/>
      <c r="G818" s="101"/>
      <c r="H818" s="206"/>
      <c r="I818" s="206"/>
      <c r="J818" s="206"/>
    </row>
    <row r="819" s="94" customFormat="true" ht="15" hidden="false" customHeight="true" outlineLevel="0" collapsed="false">
      <c r="A819" s="7"/>
      <c r="B819" s="122"/>
      <c r="C819" s="49" t="n">
        <v>27</v>
      </c>
      <c r="D819" s="123" t="s">
        <v>362</v>
      </c>
      <c r="E819" s="124" t="s">
        <v>26</v>
      </c>
      <c r="F819" s="125" t="s">
        <v>27</v>
      </c>
      <c r="G819" s="126" t="s">
        <v>28</v>
      </c>
      <c r="H819" s="127" t="s">
        <v>9</v>
      </c>
      <c r="I819" s="128" t="s">
        <v>10</v>
      </c>
      <c r="J819" s="128" t="s">
        <v>11</v>
      </c>
    </row>
    <row r="820" customFormat="false" ht="15" hidden="false" customHeight="true" outlineLevel="0" collapsed="false">
      <c r="A820" s="7"/>
      <c r="B820" s="59"/>
      <c r="C820" s="145"/>
      <c r="D820" s="135" t="s">
        <v>363</v>
      </c>
      <c r="E820" s="380" t="n">
        <v>0.03</v>
      </c>
      <c r="F820" s="133" t="n">
        <f aca="false">SUM(H811+H807+H803+H797+H781+H772+H763+H734+H728+H693+H687+H676+H668+H660+H655+H632+H626+H619+H610+H594+H587+H551+H93+H86+H80)</f>
        <v>238890688.152187</v>
      </c>
      <c r="G820" s="133" t="n">
        <v>1</v>
      </c>
      <c r="H820" s="133" t="n">
        <f aca="false">+G820*F820*E820</f>
        <v>7166720.64456562</v>
      </c>
      <c r="I820" s="182" t="n">
        <v>0</v>
      </c>
      <c r="J820" s="182" t="n">
        <f aca="false">+I820+H820</f>
        <v>7166720.64456562</v>
      </c>
    </row>
    <row r="821" customFormat="false" ht="15" hidden="false" customHeight="true" outlineLevel="0" collapsed="false">
      <c r="A821" s="7"/>
      <c r="B821" s="59"/>
      <c r="C821" s="145"/>
      <c r="D821" s="376"/>
      <c r="E821" s="381"/>
      <c r="F821" s="126" t="s">
        <v>364</v>
      </c>
      <c r="G821" s="126"/>
      <c r="H821" s="197" t="n">
        <f aca="false">SUM(H820)</f>
        <v>7166720.64456562</v>
      </c>
      <c r="I821" s="198" t="n">
        <f aca="false">SUM(I820:I820)</f>
        <v>0</v>
      </c>
      <c r="J821" s="198" t="n">
        <f aca="false">SUM(H821:I821)</f>
        <v>7166720.64456562</v>
      </c>
    </row>
    <row r="822" customFormat="false" ht="15.95" hidden="false" customHeight="true" outlineLevel="0" collapsed="false">
      <c r="A822" s="7"/>
      <c r="B822" s="102"/>
      <c r="C822" s="106"/>
      <c r="D822" s="382"/>
      <c r="E822" s="383"/>
      <c r="F822" s="382"/>
      <c r="G822" s="382"/>
      <c r="H822" s="384" t="s">
        <v>323</v>
      </c>
      <c r="I822" s="385"/>
      <c r="J822" s="385"/>
    </row>
    <row r="823" customFormat="false" ht="13.5" hidden="false" customHeight="false" outlineLevel="0" collapsed="false"/>
  </sheetData>
  <mergeCells count="36">
    <mergeCell ref="C3:C5"/>
    <mergeCell ref="D3:D5"/>
    <mergeCell ref="F62:G62"/>
    <mergeCell ref="F64:G64"/>
    <mergeCell ref="F66:G66"/>
    <mergeCell ref="F68:G68"/>
    <mergeCell ref="F80:G80"/>
    <mergeCell ref="F86:G86"/>
    <mergeCell ref="F93:G93"/>
    <mergeCell ref="F535:G535"/>
    <mergeCell ref="F549:G549"/>
    <mergeCell ref="F551:G551"/>
    <mergeCell ref="F587:G587"/>
    <mergeCell ref="F594:G594"/>
    <mergeCell ref="F610:G610"/>
    <mergeCell ref="F619:G619"/>
    <mergeCell ref="F626:G626"/>
    <mergeCell ref="F632:G632"/>
    <mergeCell ref="F655:G655"/>
    <mergeCell ref="F660:G660"/>
    <mergeCell ref="F668:G668"/>
    <mergeCell ref="F676:G676"/>
    <mergeCell ref="F687:G687"/>
    <mergeCell ref="F693:G693"/>
    <mergeCell ref="D701:D703"/>
    <mergeCell ref="F728:G728"/>
    <mergeCell ref="F734:G734"/>
    <mergeCell ref="F763:G763"/>
    <mergeCell ref="F772:G772"/>
    <mergeCell ref="F781:G781"/>
    <mergeCell ref="F797:G797"/>
    <mergeCell ref="F803:G803"/>
    <mergeCell ref="F807:G807"/>
    <mergeCell ref="F811:G811"/>
    <mergeCell ref="F817:G817"/>
    <mergeCell ref="F821:G821"/>
  </mergeCells>
  <printOptions headings="false" gridLines="false" gridLinesSet="true" horizontalCentered="false" verticalCentered="false"/>
  <pageMargins left="0.15" right="0.570138888888889" top="0.240277777777778" bottom="0.159722222222222" header="0.511805555555555" footer="0.511805555555555"/>
  <pageSetup paperSize="9" scale="6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1" manualBreakCount="11">
    <brk id="68" man="true" max="16383" min="0"/>
    <brk id="119" man="true" max="16383" min="0"/>
    <brk id="177" man="true" max="16383" min="0"/>
    <brk id="298" man="true" max="16383" min="0"/>
    <brk id="419" man="true" max="16383" min="0"/>
    <brk id="476" man="true" max="16383" min="0"/>
    <brk id="530" man="true" max="16383" min="0"/>
    <brk id="587" man="true" max="16383" min="0"/>
    <brk id="694" man="true" max="16383" min="0"/>
    <brk id="750" man="true" max="16383" min="0"/>
    <brk id="80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T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RowHeight="12.75" zeroHeight="false" outlineLevelRow="0" outlineLevelCol="0"/>
  <cols>
    <col collapsed="false" customWidth="true" hidden="false" outlineLevel="0" max="1" min="1" style="0" width="1.71"/>
    <col collapsed="false" customWidth="true" hidden="false" outlineLevel="0" max="2" min="2" style="0" width="7.42"/>
    <col collapsed="false" customWidth="true" hidden="false" outlineLevel="0" max="5" min="3" style="0" width="10.67"/>
    <col collapsed="false" customWidth="true" hidden="false" outlineLevel="0" max="6" min="6" style="0" width="13.29"/>
    <col collapsed="false" customWidth="true" hidden="false" outlineLevel="0" max="7" min="7" style="0" width="10.67"/>
    <col collapsed="false" customWidth="true" hidden="false" outlineLevel="0" max="8" min="8" style="0" width="11.25"/>
    <col collapsed="false" customWidth="true" hidden="false" outlineLevel="0" max="9" min="9" style="0" width="14.01"/>
    <col collapsed="false" customWidth="true" hidden="false" outlineLevel="0" max="17" min="10" style="0" width="10.67"/>
    <col collapsed="false" customWidth="true" hidden="false" outlineLevel="0" max="18" min="18" style="0" width="12.14"/>
    <col collapsed="false" customWidth="true" hidden="false" outlineLevel="0" max="19" min="19" style="0" width="10.67"/>
    <col collapsed="false" customWidth="true" hidden="false" outlineLevel="0" max="20" min="20" style="0" width="11.71"/>
    <col collapsed="false" customWidth="true" hidden="false" outlineLevel="0" max="1025" min="21" style="0" width="10.67"/>
  </cols>
  <sheetData>
    <row r="1" customFormat="false" ht="15" hidden="false" customHeight="false" outlineLevel="0" collapsed="false">
      <c r="B1" s="386"/>
      <c r="C1" s="387"/>
      <c r="D1" s="387"/>
      <c r="E1" s="387"/>
      <c r="F1" s="387"/>
      <c r="G1" s="387"/>
    </row>
    <row r="2" customFormat="false" ht="47.25" hidden="false" customHeight="false" outlineLevel="0" collapsed="false">
      <c r="B2" s="388" t="s">
        <v>365</v>
      </c>
      <c r="C2" s="388" t="s">
        <v>366</v>
      </c>
      <c r="D2" s="388" t="s">
        <v>367</v>
      </c>
      <c r="E2" s="388" t="s">
        <v>368</v>
      </c>
      <c r="F2" s="388" t="s">
        <v>369</v>
      </c>
      <c r="G2" s="388" t="s">
        <v>370</v>
      </c>
      <c r="H2" s="388" t="s">
        <v>371</v>
      </c>
      <c r="I2" s="388" t="s">
        <v>372</v>
      </c>
      <c r="J2" s="389" t="s">
        <v>373</v>
      </c>
      <c r="K2" s="389"/>
      <c r="L2" s="389"/>
      <c r="M2" s="389"/>
      <c r="N2" s="389"/>
    </row>
    <row r="3" customFormat="false" ht="12.75" hidden="false" customHeight="false" outlineLevel="0" collapsed="false">
      <c r="B3" s="390" t="n">
        <v>0.12</v>
      </c>
      <c r="C3" s="391" t="s">
        <v>374</v>
      </c>
      <c r="D3" s="391"/>
      <c r="E3" s="391"/>
      <c r="F3" s="391" t="s">
        <v>374</v>
      </c>
      <c r="G3" s="391"/>
      <c r="H3" s="391"/>
      <c r="I3" s="391"/>
      <c r="J3" s="392"/>
      <c r="K3" s="392"/>
      <c r="L3" s="392"/>
      <c r="M3" s="392"/>
      <c r="N3" s="392"/>
      <c r="R3" s="393" t="s">
        <v>375</v>
      </c>
      <c r="S3" s="394" t="n">
        <v>0.45</v>
      </c>
      <c r="T3" s="393" t="s">
        <v>376</v>
      </c>
    </row>
    <row r="4" customFormat="false" ht="25.5" hidden="false" customHeight="false" outlineLevel="0" collapsed="false">
      <c r="B4" s="395" t="n">
        <v>1</v>
      </c>
      <c r="C4" s="396" t="n">
        <f aca="false">T4</f>
        <v>171110.034</v>
      </c>
      <c r="D4" s="396" t="n">
        <f aca="false">+C4/150*1.5*1*22+C4</f>
        <v>208754.24148</v>
      </c>
      <c r="E4" s="396" t="n">
        <f aca="false">+C4/150*1.5*2*22+C4</f>
        <v>246398.44896</v>
      </c>
      <c r="F4" s="396" t="n">
        <f aca="false">+C4/150*1.5*3*22+C4</f>
        <v>284042.65644</v>
      </c>
      <c r="G4" s="396" t="n">
        <f aca="false">+C4/150*1.5*4*22+C4</f>
        <v>321686.86392</v>
      </c>
      <c r="H4" s="396" t="n">
        <f aca="false">+(C4/150*1.5*5*22+C4)</f>
        <v>359331.0714</v>
      </c>
      <c r="I4" s="396" t="n">
        <f aca="false">+(C4+C4/150*1.5*6*22)</f>
        <v>396975.27888</v>
      </c>
      <c r="J4" s="397" t="s">
        <v>377</v>
      </c>
      <c r="K4" s="398"/>
      <c r="L4" s="398"/>
      <c r="M4" s="398"/>
      <c r="N4" s="398"/>
      <c r="R4" s="399" t="n">
        <v>118006.92</v>
      </c>
      <c r="S4" s="399" t="n">
        <f aca="false">R4*0.45</f>
        <v>53103.114</v>
      </c>
      <c r="T4" s="400" t="n">
        <f aca="false">SUM(R4+S4)</f>
        <v>171110.034</v>
      </c>
    </row>
    <row r="5" customFormat="false" ht="12.75" hidden="false" customHeight="false" outlineLevel="0" collapsed="false">
      <c r="B5" s="395" t="n">
        <v>2</v>
      </c>
      <c r="C5" s="396" t="n">
        <f aca="false">T5</f>
        <v>148536.84</v>
      </c>
      <c r="D5" s="396" t="n">
        <f aca="false">+C5/150*1.5*1*22+C5</f>
        <v>181214.9448</v>
      </c>
      <c r="E5" s="396" t="n">
        <f aca="false">+C5/150*1.5*2*22+C5</f>
        <v>213893.0496</v>
      </c>
      <c r="F5" s="396" t="n">
        <f aca="false">+C5/150*1.5*3*22+C5</f>
        <v>246571.1544</v>
      </c>
      <c r="G5" s="396" t="n">
        <f aca="false">+C5/150*1.5*4*22+C5</f>
        <v>279249.2592</v>
      </c>
      <c r="H5" s="396" t="n">
        <f aca="false">+(C5/150*1.5*5*22+C5)</f>
        <v>311927.364</v>
      </c>
      <c r="I5" s="396" t="n">
        <f aca="false">+(C5+C5/150*1.5*6*22)</f>
        <v>344605.4688</v>
      </c>
      <c r="J5" s="401" t="s">
        <v>378</v>
      </c>
      <c r="K5" s="398"/>
      <c r="L5" s="398"/>
      <c r="M5" s="398"/>
      <c r="N5" s="398"/>
      <c r="R5" s="399" t="n">
        <v>102439.2</v>
      </c>
      <c r="S5" s="399" t="n">
        <f aca="false">R5*0.45</f>
        <v>46097.64</v>
      </c>
      <c r="T5" s="399" t="n">
        <f aca="false">SUM(R5+S5)</f>
        <v>148536.84</v>
      </c>
    </row>
    <row r="6" customFormat="false" ht="12.75" hidden="false" customHeight="false" outlineLevel="0" collapsed="false">
      <c r="B6" s="395" t="n">
        <v>3</v>
      </c>
      <c r="C6" s="396" t="n">
        <f aca="false">T6</f>
        <v>129385.849</v>
      </c>
      <c r="D6" s="396" t="n">
        <f aca="false">+C6/150*1.5*1*22+C6</f>
        <v>157850.73578</v>
      </c>
      <c r="E6" s="396" t="n">
        <f aca="false">+C6/150*1.5*2*22+C6</f>
        <v>186315.62256</v>
      </c>
      <c r="F6" s="396" t="n">
        <f aca="false">+C6/150*1.5*3*22+C6</f>
        <v>214780.50934</v>
      </c>
      <c r="G6" s="396" t="n">
        <f aca="false">+C6/150*1.5*4*22+C6</f>
        <v>243245.39612</v>
      </c>
      <c r="H6" s="396" t="n">
        <f aca="false">+(C6/150*1.5*5*22+C6)</f>
        <v>271710.2829</v>
      </c>
      <c r="I6" s="396" t="n">
        <f aca="false">+(C6+C6/150*1.5*6*22)</f>
        <v>300175.16968</v>
      </c>
      <c r="J6" s="401" t="s">
        <v>379</v>
      </c>
      <c r="K6" s="402"/>
      <c r="L6" s="402"/>
      <c r="M6" s="402"/>
      <c r="N6" s="402"/>
      <c r="R6" s="399" t="n">
        <v>89231.62</v>
      </c>
      <c r="S6" s="400" t="n">
        <f aca="false">R6*0.45</f>
        <v>40154.229</v>
      </c>
      <c r="T6" s="400" t="n">
        <f aca="false">SUM(R6+S6)</f>
        <v>129385.849</v>
      </c>
    </row>
    <row r="7" customFormat="false" ht="12.75" hidden="false" customHeight="false" outlineLevel="0" collapsed="false">
      <c r="B7" s="395" t="n">
        <v>4</v>
      </c>
      <c r="C7" s="396" t="n">
        <f aca="false">T7</f>
        <v>119478.26</v>
      </c>
      <c r="D7" s="396" t="n">
        <f aca="false">+C7/150*1.5*1*22+C7</f>
        <v>145763.4772</v>
      </c>
      <c r="E7" s="396" t="n">
        <f aca="false">+C7/150*1.5*2*22+C7</f>
        <v>172048.6944</v>
      </c>
      <c r="F7" s="396" t="n">
        <f aca="false">+C7/150*1.5*3*22+C7</f>
        <v>198333.9116</v>
      </c>
      <c r="G7" s="396" t="n">
        <f aca="false">+C7/150*1.5*4*22+C7</f>
        <v>224619.1288</v>
      </c>
      <c r="H7" s="396" t="n">
        <f aca="false">+(C7/150*1.5*5*22+C7)</f>
        <v>250904.346</v>
      </c>
      <c r="I7" s="396" t="n">
        <f aca="false">+(C7+C7/150*1.5*6*22)</f>
        <v>277189.5632</v>
      </c>
      <c r="J7" s="401" t="s">
        <v>380</v>
      </c>
      <c r="K7" s="403"/>
      <c r="L7" s="403"/>
      <c r="M7" s="403"/>
      <c r="N7" s="403"/>
      <c r="R7" s="399" t="n">
        <v>82398.8</v>
      </c>
      <c r="S7" s="399" t="n">
        <f aca="false">R7*0.45</f>
        <v>37079.46</v>
      </c>
      <c r="T7" s="399" t="n">
        <f aca="false">SUM(R7+S7)</f>
        <v>119478.26</v>
      </c>
    </row>
    <row r="8" customFormat="false" ht="12.75" hidden="false" customHeight="false" outlineLevel="0" collapsed="false">
      <c r="B8" s="395" t="n">
        <v>5</v>
      </c>
      <c r="C8" s="396" t="n">
        <f aca="false">T8</f>
        <v>110189.038</v>
      </c>
      <c r="D8" s="396" t="n">
        <f aca="false">+C8/150*1.5*1*22+C8</f>
        <v>134430.62636</v>
      </c>
      <c r="E8" s="396" t="n">
        <f aca="false">+C8/150*1.5*2*22+C8</f>
        <v>158672.21472</v>
      </c>
      <c r="F8" s="396" t="n">
        <f aca="false">+C8/150*1.5*3*22+C8</f>
        <v>182913.80308</v>
      </c>
      <c r="G8" s="396" t="n">
        <f aca="false">+C8/150*1.5*4*22+C8</f>
        <v>207155.39144</v>
      </c>
      <c r="H8" s="396" t="n">
        <f aca="false">+(C8/150*1.5*5*22+C8)</f>
        <v>231396.9798</v>
      </c>
      <c r="I8" s="396" t="n">
        <f aca="false">+(C8+C8/150*1.5*6*22)</f>
        <v>255638.56816</v>
      </c>
      <c r="J8" s="401" t="s">
        <v>381</v>
      </c>
      <c r="K8" s="403"/>
      <c r="L8" s="403"/>
      <c r="M8" s="403"/>
      <c r="N8" s="403"/>
      <c r="R8" s="399" t="n">
        <v>75992.44</v>
      </c>
      <c r="S8" s="400" t="n">
        <f aca="false">R8*0.45</f>
        <v>34196.598</v>
      </c>
      <c r="T8" s="400" t="n">
        <f aca="false">SUM(R8+S8)</f>
        <v>110189.038</v>
      </c>
    </row>
    <row r="9" customFormat="false" ht="12.75" hidden="false" customHeight="false" outlineLevel="0" collapsed="false">
      <c r="B9" s="395" t="n">
        <v>6</v>
      </c>
      <c r="C9" s="396" t="n">
        <f aca="false">T9</f>
        <v>101647.5375</v>
      </c>
      <c r="D9" s="396" t="n">
        <f aca="false">+C9/150*1.5*1*22+C9</f>
        <v>124009.99575</v>
      </c>
      <c r="E9" s="396" t="n">
        <f aca="false">+C9/150*1.5*2*22+C9</f>
        <v>146372.454</v>
      </c>
      <c r="F9" s="396" t="n">
        <f aca="false">+C9/150*1.5*3*22+C9</f>
        <v>168734.91225</v>
      </c>
      <c r="G9" s="396" t="n">
        <f aca="false">+C9/150*1.5*4*22+C9</f>
        <v>191097.3705</v>
      </c>
      <c r="H9" s="396" t="n">
        <f aca="false">+(C9/150*1.5*5*22+C9)</f>
        <v>213459.82875</v>
      </c>
      <c r="I9" s="396" t="n">
        <f aca="false">+(C9+C9/150*1.5*6*22)</f>
        <v>235822.287</v>
      </c>
      <c r="J9" s="401" t="s">
        <v>382</v>
      </c>
      <c r="K9" s="403"/>
      <c r="L9" s="403"/>
      <c r="M9" s="403"/>
      <c r="N9" s="403"/>
      <c r="R9" s="399" t="n">
        <v>70101.75</v>
      </c>
      <c r="S9" s="400" t="n">
        <f aca="false">R9*0.45</f>
        <v>31545.7875</v>
      </c>
      <c r="T9" s="400" t="n">
        <f aca="false">SUM(R9+S9)</f>
        <v>101647.5375</v>
      </c>
    </row>
    <row r="10" customFormat="false" ht="12.75" hidden="false" customHeight="false" outlineLevel="0" collapsed="false">
      <c r="B10" s="395" t="n">
        <v>7</v>
      </c>
      <c r="C10" s="396" t="n">
        <f aca="false">T10</f>
        <v>94045.753</v>
      </c>
      <c r="D10" s="396" t="n">
        <f aca="false">+C10/150*1.5*1*22+C10</f>
        <v>114735.81866</v>
      </c>
      <c r="E10" s="396" t="n">
        <f aca="false">+C10/150*1.5*2*22+C10</f>
        <v>135425.88432</v>
      </c>
      <c r="F10" s="396" t="n">
        <f aca="false">+C10/150*1.5*3*22+C10</f>
        <v>156115.94998</v>
      </c>
      <c r="G10" s="396" t="n">
        <f aca="false">+C10/150*1.5*4*22+C10</f>
        <v>176806.01564</v>
      </c>
      <c r="H10" s="396" t="n">
        <f aca="false">+(C10/150*1.5*5*22+C10)</f>
        <v>197496.0813</v>
      </c>
      <c r="I10" s="396" t="n">
        <f aca="false">+(C10+C10/150*1.5*6*22)</f>
        <v>218186.14696</v>
      </c>
      <c r="J10" s="401" t="s">
        <v>383</v>
      </c>
      <c r="K10" s="403"/>
      <c r="L10" s="403"/>
      <c r="M10" s="403"/>
      <c r="N10" s="403"/>
      <c r="R10" s="399" t="n">
        <v>64859.14</v>
      </c>
      <c r="S10" s="400" t="n">
        <f aca="false">R10*0.45</f>
        <v>29186.613</v>
      </c>
      <c r="T10" s="400" t="n">
        <f aca="false">SUM(R10+S10)</f>
        <v>94045.753</v>
      </c>
    </row>
    <row r="11" customFormat="false" ht="12.75" hidden="false" customHeight="false" outlineLevel="0" collapsed="false">
      <c r="B11" s="395" t="n">
        <v>8</v>
      </c>
      <c r="C11" s="396" t="n">
        <f aca="false">T11</f>
        <v>86594.667</v>
      </c>
      <c r="D11" s="396" t="n">
        <f aca="false">+C11/150*1.5*1*22+C11</f>
        <v>105645.49374</v>
      </c>
      <c r="E11" s="396" t="n">
        <f aca="false">+C11/150*1.5*2*22+C11</f>
        <v>124696.32048</v>
      </c>
      <c r="F11" s="396" t="n">
        <f aca="false">+C11/150*1.5*3*22+C11</f>
        <v>143747.14722</v>
      </c>
      <c r="G11" s="396" t="n">
        <f aca="false">+C11/150*1.5*4*22+C11</f>
        <v>162797.97396</v>
      </c>
      <c r="H11" s="396" t="n">
        <f aca="false">+(C11/150*1.5*5*22+C11)</f>
        <v>181848.8007</v>
      </c>
      <c r="I11" s="396" t="n">
        <f aca="false">+(C11+C11/150*1.5*6*22)</f>
        <v>200899.62744</v>
      </c>
      <c r="J11" s="401" t="s">
        <v>384</v>
      </c>
      <c r="K11" s="403"/>
      <c r="L11" s="403"/>
      <c r="M11" s="403"/>
      <c r="N11" s="403"/>
      <c r="R11" s="399" t="n">
        <v>59720.46</v>
      </c>
      <c r="S11" s="400" t="n">
        <f aca="false">R11*0.45</f>
        <v>26874.207</v>
      </c>
      <c r="T11" s="400" t="n">
        <f aca="false">SUM(R11+S11)</f>
        <v>86594.667</v>
      </c>
    </row>
    <row r="12" customFormat="false" ht="12.75" hidden="false" customHeight="false" outlineLevel="0" collapsed="false">
      <c r="B12" s="395" t="n">
        <v>9</v>
      </c>
      <c r="C12" s="396" t="n">
        <f aca="false">T12</f>
        <v>80331.189</v>
      </c>
      <c r="D12" s="396" t="n">
        <f aca="false">+C12/150*1.5*1*22+C12</f>
        <v>98004.05058</v>
      </c>
      <c r="E12" s="396" t="n">
        <f aca="false">+C12/150*1.5*2*22+C12</f>
        <v>115676.91216</v>
      </c>
      <c r="F12" s="396" t="n">
        <f aca="false">+C12/150*1.5*3*22+C12</f>
        <v>133349.77374</v>
      </c>
      <c r="G12" s="396" t="n">
        <f aca="false">+C12/150*1.5*4*22+C12</f>
        <v>151022.63532</v>
      </c>
      <c r="H12" s="396" t="n">
        <f aca="false">+(C12/150*1.5*5*22+C12)</f>
        <v>168695.4969</v>
      </c>
      <c r="I12" s="396" t="n">
        <f aca="false">+(C12+C12/150*1.5*6*22)</f>
        <v>186368.35848</v>
      </c>
      <c r="J12" s="401" t="s">
        <v>385</v>
      </c>
      <c r="K12" s="403"/>
      <c r="L12" s="403"/>
      <c r="M12" s="403"/>
      <c r="N12" s="403"/>
      <c r="R12" s="399" t="n">
        <v>55400.82</v>
      </c>
      <c r="S12" s="400" t="n">
        <f aca="false">R12*0.45</f>
        <v>24930.369</v>
      </c>
      <c r="T12" s="400" t="n">
        <f aca="false">SUM(R12+S12)</f>
        <v>80331.189</v>
      </c>
    </row>
    <row r="13" customFormat="false" ht="12.75" hidden="false" customHeight="false" outlineLevel="0" collapsed="false">
      <c r="B13" s="395" t="n">
        <v>10</v>
      </c>
      <c r="C13" s="396" t="n">
        <f aca="false">T13</f>
        <v>74191.222</v>
      </c>
      <c r="D13" s="396" t="n">
        <f aca="false">+C13/150*1.5*1*22+C13</f>
        <v>90513.29084</v>
      </c>
      <c r="E13" s="396" t="n">
        <f aca="false">+C13/150*1.5*2*22+C13</f>
        <v>106835.35968</v>
      </c>
      <c r="F13" s="396" t="n">
        <f aca="false">+C13/150*1.5*3*22+C13</f>
        <v>123157.42852</v>
      </c>
      <c r="G13" s="396" t="n">
        <f aca="false">+C13/150*1.5*4*22+C13</f>
        <v>139479.49736</v>
      </c>
      <c r="H13" s="396" t="n">
        <f aca="false">+(C13/150*1.5*5*22+C13)</f>
        <v>155801.5662</v>
      </c>
      <c r="I13" s="396" t="n">
        <f aca="false">+(C13+C13/150*1.5*6*22)</f>
        <v>172123.63504</v>
      </c>
      <c r="J13" s="401"/>
      <c r="K13" s="404"/>
      <c r="L13" s="404"/>
      <c r="M13" s="404"/>
      <c r="N13" s="404"/>
      <c r="R13" s="399" t="n">
        <v>51166.36</v>
      </c>
      <c r="S13" s="400" t="n">
        <f aca="false">R13*0.45</f>
        <v>23024.862</v>
      </c>
      <c r="T13" s="400" t="n">
        <f aca="false">SUM(R13+S13)</f>
        <v>74191.222</v>
      </c>
    </row>
    <row r="14" customFormat="false" ht="12.75" hidden="false" customHeight="false" outlineLevel="0" collapsed="false">
      <c r="B14" s="395" t="n">
        <v>11</v>
      </c>
      <c r="C14" s="396" t="n">
        <f aca="false">T14</f>
        <v>68601.008</v>
      </c>
      <c r="D14" s="396" t="n">
        <f aca="false">+C14/150*1.5*1*22+C14</f>
        <v>83693.22976</v>
      </c>
      <c r="E14" s="396" t="n">
        <f aca="false">+C14/150*1.5*2*22+C14</f>
        <v>98785.45152</v>
      </c>
      <c r="F14" s="396" t="n">
        <f aca="false">+C14/150*1.5*3*22+C14</f>
        <v>113877.67328</v>
      </c>
      <c r="G14" s="396" t="n">
        <f aca="false">+C14/150*1.5*4*22+C14</f>
        <v>128969.89504</v>
      </c>
      <c r="H14" s="396" t="n">
        <f aca="false">+(C14/150*1.5*5*22+C14)</f>
        <v>144062.1168</v>
      </c>
      <c r="I14" s="396" t="n">
        <f aca="false">+(C14+C14/150*1.5*6*22)</f>
        <v>159154.33856</v>
      </c>
      <c r="J14" s="401"/>
      <c r="K14" s="404"/>
      <c r="L14" s="404"/>
      <c r="M14" s="404"/>
      <c r="N14" s="404"/>
      <c r="R14" s="399" t="n">
        <v>47311.04</v>
      </c>
      <c r="S14" s="400" t="n">
        <f aca="false">R14*0.45</f>
        <v>21289.968</v>
      </c>
      <c r="T14" s="400" t="n">
        <f aca="false">SUM(R14+S14)</f>
        <v>68601.008</v>
      </c>
    </row>
    <row r="15" customFormat="false" ht="12.75" hidden="false" customHeight="false" outlineLevel="0" collapsed="false">
      <c r="B15" s="395" t="n">
        <v>12</v>
      </c>
      <c r="C15" s="396" t="n">
        <f aca="false">T15</f>
        <v>63372.395</v>
      </c>
      <c r="D15" s="396" t="n">
        <f aca="false">+C15/150*1.5*1*22+C15</f>
        <v>77314.3219</v>
      </c>
      <c r="E15" s="396" t="n">
        <f aca="false">+C15/150*1.5*2*22+C15</f>
        <v>91256.2488</v>
      </c>
      <c r="F15" s="396" t="n">
        <f aca="false">+C15/150*1.5*3*22+C15</f>
        <v>105198.1757</v>
      </c>
      <c r="G15" s="396" t="n">
        <f aca="false">+C15/150*1.5*4*22+C15</f>
        <v>119140.1026</v>
      </c>
      <c r="H15" s="396" t="n">
        <f aca="false">+(C15/150*1.5*5*22+C15)</f>
        <v>133082.0295</v>
      </c>
      <c r="I15" s="396" t="n">
        <f aca="false">+(C15+C15/150*1.5*6*22)</f>
        <v>147023.9564</v>
      </c>
      <c r="J15" s="401"/>
      <c r="K15" s="404"/>
      <c r="L15" s="404"/>
      <c r="M15" s="404"/>
      <c r="N15" s="404"/>
      <c r="R15" s="399" t="n">
        <v>43705.1</v>
      </c>
      <c r="S15" s="400" t="n">
        <f aca="false">R15*0.45</f>
        <v>19667.295</v>
      </c>
      <c r="T15" s="400" t="n">
        <f aca="false">SUM(R15+S15)</f>
        <v>63372.395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LibreOffice/5.4.1.2$Windows_x86 LibreOffice_project/ea7cb86e6eeb2bf3a5af73a8f7777ac570321527</Application>
  <Company>Gustavo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2001-08-21T19:51:46Z</dcterms:created>
  <dc:creator>Natacha</dc:creator>
  <dc:description/>
  <dc:language>es-AR</dc:language>
  <cp:lastModifiedBy>Máximo Martín Ochoa</cp:lastModifiedBy>
  <cp:lastPrinted>2017-04-03T00:43:05Z</cp:lastPrinted>
  <dcterms:modified xsi:type="dcterms:W3CDTF">2021-11-26T17:57:11Z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Gustavo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