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autoCompressPictures="0"/>
  <bookViews>
    <workbookView xWindow="-105" yWindow="-105" windowWidth="23250" windowHeight="12450" tabRatio="959" activeTab="1"/>
  </bookViews>
  <sheets>
    <sheet name="Top Sheet anterior p comparar" sheetId="14" r:id="rId1"/>
    <sheet name="TOP SHEET" sheetId="7" r:id="rId2"/>
    <sheet name="PRESU" sheetId="1" r:id="rId3"/>
    <sheet name="Equ. Tec. x SICA" sheetId="11" r:id="rId4"/>
    <sheet name="SICA a Marzo2026" sheetId="2" r:id="rId5"/>
    <sheet name="AAA a Marzo26" sheetId="9" r:id="rId6"/>
    <sheet name="SUTEP a Marzo26" sheetId="3" r:id="rId7"/>
    <sheet name="SADAIC-SAdeM a Marzo26" sheetId="6" r:id="rId8"/>
  </sheets>
  <definedNames>
    <definedName name="_xlnm.Print_Area" localSheetId="3">'Equ. Tec. x SICA'!$B$2:$R$6</definedName>
    <definedName name="_xlnm.Print_Area" localSheetId="2">PRESU!$B$2:$R$7</definedName>
  </definedNames>
  <calcPr calcId="125725"/>
</workbook>
</file>

<file path=xl/calcChain.xml><?xml version="1.0" encoding="utf-8"?>
<calcChain xmlns="http://schemas.openxmlformats.org/spreadsheetml/2006/main">
  <c r="G172" i="1"/>
  <c r="G429"/>
  <c r="G427"/>
  <c r="G435"/>
  <c r="G425"/>
  <c r="G424"/>
  <c r="G423"/>
  <c r="G422"/>
  <c r="G421"/>
  <c r="G418"/>
  <c r="G416"/>
  <c r="G412"/>
  <c r="G411"/>
  <c r="G379"/>
  <c r="G378"/>
  <c r="G377"/>
  <c r="G328"/>
  <c r="G314"/>
  <c r="G312"/>
  <c r="G310"/>
  <c r="G302"/>
  <c r="G247"/>
  <c r="G240"/>
  <c r="G186"/>
  <c r="G184"/>
  <c r="G182"/>
  <c r="G165"/>
  <c r="G164"/>
  <c r="G163"/>
  <c r="G161"/>
  <c r="G159"/>
  <c r="G157"/>
  <c r="G150"/>
  <c r="G146"/>
  <c r="G139"/>
  <c r="G137"/>
  <c r="G135"/>
  <c r="G133"/>
  <c r="G131"/>
  <c r="G126"/>
  <c r="G121"/>
  <c r="G119"/>
  <c r="G117"/>
  <c r="G113"/>
  <c r="G112"/>
  <c r="G230"/>
  <c r="G228"/>
  <c r="G434"/>
  <c r="E5" i="2"/>
  <c r="K55" i="14"/>
  <c r="I23" i="1" l="1"/>
  <c r="G499"/>
  <c r="G298"/>
  <c r="G296"/>
  <c r="G275"/>
  <c r="G234"/>
  <c r="G232"/>
  <c r="G103" l="1"/>
  <c r="G356"/>
  <c r="G361"/>
  <c r="H361"/>
  <c r="G475"/>
  <c r="I361" l="1"/>
  <c r="O361" s="1"/>
  <c r="J361" l="1"/>
  <c r="K361" s="1"/>
  <c r="N361"/>
  <c r="P361" s="1"/>
  <c r="O223"/>
  <c r="I167"/>
  <c r="I161"/>
  <c r="O141"/>
  <c r="J161" l="1"/>
  <c r="K161" s="1"/>
  <c r="N161"/>
  <c r="O161"/>
  <c r="G251" l="1"/>
  <c r="H359"/>
  <c r="I326"/>
  <c r="G286"/>
  <c r="G290"/>
  <c r="H296"/>
  <c r="I230"/>
  <c r="P230" s="1"/>
  <c r="I228"/>
  <c r="I377"/>
  <c r="G489"/>
  <c r="I489" s="1"/>
  <c r="H221"/>
  <c r="I221" s="1"/>
  <c r="O221" l="1"/>
  <c r="K221"/>
  <c r="P326"/>
  <c r="N326"/>
  <c r="J326"/>
  <c r="K326" s="1"/>
  <c r="G304"/>
  <c r="G245"/>
  <c r="K230"/>
  <c r="I238"/>
  <c r="P238" s="1"/>
  <c r="I234"/>
  <c r="I236"/>
  <c r="K236" s="1"/>
  <c r="H240"/>
  <c r="G206"/>
  <c r="I188"/>
  <c r="K188" s="1"/>
  <c r="C179"/>
  <c r="C178"/>
  <c r="C177"/>
  <c r="C176"/>
  <c r="C175"/>
  <c r="C174"/>
  <c r="C173"/>
  <c r="C172"/>
  <c r="I184"/>
  <c r="K184" s="1"/>
  <c r="G173"/>
  <c r="K238" l="1"/>
  <c r="I139"/>
  <c r="O139" s="1"/>
  <c r="I137"/>
  <c r="O137" s="1"/>
  <c r="I133"/>
  <c r="J139" l="1"/>
  <c r="K139" s="1"/>
  <c r="J137"/>
  <c r="K137" s="1"/>
  <c r="J133"/>
  <c r="K133" s="1"/>
  <c r="G485"/>
  <c r="I485" s="1"/>
  <c r="P485" s="1"/>
  <c r="I483"/>
  <c r="P483" s="1"/>
  <c r="G476"/>
  <c r="G477"/>
  <c r="I477" s="1"/>
  <c r="P477" s="1"/>
  <c r="I475"/>
  <c r="P475" s="1"/>
  <c r="G474"/>
  <c r="I474" s="1"/>
  <c r="P474" s="1"/>
  <c r="G478"/>
  <c r="I478" s="1"/>
  <c r="P478" s="1"/>
  <c r="G497"/>
  <c r="I497" s="1"/>
  <c r="P497" s="1"/>
  <c r="G498"/>
  <c r="I498" s="1"/>
  <c r="P498" s="1"/>
  <c r="P489"/>
  <c r="I500"/>
  <c r="P500" s="1"/>
  <c r="I499"/>
  <c r="P499" s="1"/>
  <c r="I493"/>
  <c r="P493" s="1"/>
  <c r="I492"/>
  <c r="I484"/>
  <c r="P484" s="1"/>
  <c r="I476"/>
  <c r="P476" s="1"/>
  <c r="G491"/>
  <c r="I491" s="1"/>
  <c r="G490"/>
  <c r="I490" s="1"/>
  <c r="D70" i="7"/>
  <c r="C70"/>
  <c r="C68"/>
  <c r="D68"/>
  <c r="D66"/>
  <c r="C66"/>
  <c r="D64"/>
  <c r="C64"/>
  <c r="G448" i="1"/>
  <c r="G443"/>
  <c r="G445"/>
  <c r="G444"/>
  <c r="G384"/>
  <c r="G179"/>
  <c r="G178"/>
  <c r="G177"/>
  <c r="G176"/>
  <c r="G175"/>
  <c r="G174"/>
  <c r="P491" l="1"/>
  <c r="J491"/>
  <c r="P490"/>
  <c r="J490"/>
  <c r="P492"/>
  <c r="J492"/>
  <c r="J485"/>
  <c r="J474"/>
  <c r="K474"/>
  <c r="P501" l="1"/>
  <c r="O70" i="7" s="1"/>
  <c r="N501" i="1"/>
  <c r="M70" i="7" s="1"/>
  <c r="N494" i="1"/>
  <c r="M68" i="7" s="1"/>
  <c r="P494" i="1"/>
  <c r="O68" i="7" s="1"/>
  <c r="P486" i="1"/>
  <c r="O66" i="7" s="1"/>
  <c r="O486" i="1"/>
  <c r="N66" i="7" s="1"/>
  <c r="N486" i="1"/>
  <c r="M66" i="7" s="1"/>
  <c r="N480" i="1"/>
  <c r="M64" i="7" s="1"/>
  <c r="O501" i="1"/>
  <c r="I501"/>
  <c r="H70" i="7" s="1"/>
  <c r="J499" i="1"/>
  <c r="J498"/>
  <c r="K498" s="1"/>
  <c r="K492"/>
  <c r="I486"/>
  <c r="H66" i="7" s="1"/>
  <c r="J477" i="1"/>
  <c r="J476"/>
  <c r="K476" s="1"/>
  <c r="M73" i="7" l="1"/>
  <c r="Q501" i="1"/>
  <c r="P70" i="7" s="1"/>
  <c r="N70"/>
  <c r="I494" i="1"/>
  <c r="O480"/>
  <c r="O494"/>
  <c r="N68" i="7" s="1"/>
  <c r="Q486" i="1"/>
  <c r="P66" i="7" s="1"/>
  <c r="K493" i="1"/>
  <c r="K484"/>
  <c r="K478"/>
  <c r="K499"/>
  <c r="J489"/>
  <c r="J494" s="1"/>
  <c r="I68" i="7" s="1"/>
  <c r="K477" i="1"/>
  <c r="J500"/>
  <c r="K500" s="1"/>
  <c r="J483"/>
  <c r="J486" s="1"/>
  <c r="I66" i="7" s="1"/>
  <c r="J475" i="1"/>
  <c r="J480" s="1"/>
  <c r="I64" i="7" s="1"/>
  <c r="K485" i="1"/>
  <c r="K490"/>
  <c r="J497"/>
  <c r="K497" s="1"/>
  <c r="K491"/>
  <c r="H68" i="7" l="1"/>
  <c r="K501" i="1"/>
  <c r="J70" i="7" s="1"/>
  <c r="N64"/>
  <c r="J501" i="1"/>
  <c r="I70" i="7" s="1"/>
  <c r="I73" s="1"/>
  <c r="Q494" i="1"/>
  <c r="P68" i="7" s="1"/>
  <c r="K483" i="1"/>
  <c r="K489"/>
  <c r="K475"/>
  <c r="J505" l="1"/>
  <c r="N73" i="7"/>
  <c r="K494" i="1"/>
  <c r="J68" i="7" s="1"/>
  <c r="K486" i="1"/>
  <c r="J66" i="7" s="1"/>
  <c r="G344" i="1"/>
  <c r="G370"/>
  <c r="G369"/>
  <c r="G352"/>
  <c r="G351"/>
  <c r="G349"/>
  <c r="G348"/>
  <c r="G346"/>
  <c r="G409" l="1"/>
  <c r="G359"/>
  <c r="G358"/>
  <c r="G385"/>
  <c r="I447"/>
  <c r="O447" s="1"/>
  <c r="I446"/>
  <c r="I438"/>
  <c r="N438" s="1"/>
  <c r="I437"/>
  <c r="O437" s="1"/>
  <c r="I436"/>
  <c r="N436" s="1"/>
  <c r="C440"/>
  <c r="C449" s="1"/>
  <c r="I428"/>
  <c r="O428" s="1"/>
  <c r="C430"/>
  <c r="C413"/>
  <c r="K340"/>
  <c r="H354"/>
  <c r="H356"/>
  <c r="H346"/>
  <c r="I346" s="1"/>
  <c r="J346" s="1"/>
  <c r="K447" l="1"/>
  <c r="O446"/>
  <c r="K446"/>
  <c r="O438"/>
  <c r="J438"/>
  <c r="K438" s="1"/>
  <c r="N437"/>
  <c r="J437"/>
  <c r="K437" s="1"/>
  <c r="O436"/>
  <c r="J436"/>
  <c r="K436"/>
  <c r="J428"/>
  <c r="K428" s="1"/>
  <c r="N428"/>
  <c r="P428" s="1"/>
  <c r="K346"/>
  <c r="I356"/>
  <c r="N346"/>
  <c r="O346"/>
  <c r="I338"/>
  <c r="K338" s="1"/>
  <c r="C374"/>
  <c r="C380" s="1"/>
  <c r="C316"/>
  <c r="C329"/>
  <c r="I324"/>
  <c r="P324" s="1"/>
  <c r="I322"/>
  <c r="P322" s="1"/>
  <c r="I320"/>
  <c r="I315"/>
  <c r="I312"/>
  <c r="I308"/>
  <c r="O308" s="1"/>
  <c r="I306"/>
  <c r="O306" s="1"/>
  <c r="I300"/>
  <c r="N300" s="1"/>
  <c r="I294"/>
  <c r="O294" s="1"/>
  <c r="H310"/>
  <c r="I310" s="1"/>
  <c r="H298"/>
  <c r="I298" s="1"/>
  <c r="J298" s="1"/>
  <c r="K298" s="1"/>
  <c r="I292"/>
  <c r="O292" s="1"/>
  <c r="C282"/>
  <c r="I281"/>
  <c r="N281" s="1"/>
  <c r="K279"/>
  <c r="I277"/>
  <c r="K277" s="1"/>
  <c r="I270"/>
  <c r="O270" s="1"/>
  <c r="K268"/>
  <c r="I266"/>
  <c r="O266" s="1"/>
  <c r="N252"/>
  <c r="I249"/>
  <c r="C224"/>
  <c r="C252"/>
  <c r="C241"/>
  <c r="I240"/>
  <c r="K223"/>
  <c r="I219"/>
  <c r="C210"/>
  <c r="O210"/>
  <c r="N210"/>
  <c r="J200"/>
  <c r="I200"/>
  <c r="K199"/>
  <c r="K197"/>
  <c r="C200"/>
  <c r="P200"/>
  <c r="O200"/>
  <c r="K195"/>
  <c r="C191"/>
  <c r="I150"/>
  <c r="N150" s="1"/>
  <c r="O188"/>
  <c r="N188"/>
  <c r="O184"/>
  <c r="C168"/>
  <c r="K240" l="1"/>
  <c r="J356"/>
  <c r="K356" s="1"/>
  <c r="O356"/>
  <c r="N356"/>
  <c r="P346"/>
  <c r="N340"/>
  <c r="O340"/>
  <c r="O338"/>
  <c r="N338"/>
  <c r="N324"/>
  <c r="J324"/>
  <c r="K324" s="1"/>
  <c r="J322"/>
  <c r="K322" s="1"/>
  <c r="N322"/>
  <c r="N320"/>
  <c r="J320"/>
  <c r="P320"/>
  <c r="J315"/>
  <c r="K315" s="1"/>
  <c r="N315"/>
  <c r="N312"/>
  <c r="J312"/>
  <c r="K312" s="1"/>
  <c r="J308"/>
  <c r="K308" s="1"/>
  <c r="N308"/>
  <c r="N306"/>
  <c r="J306"/>
  <c r="K306" s="1"/>
  <c r="O300"/>
  <c r="J300"/>
  <c r="K300" s="1"/>
  <c r="J294"/>
  <c r="K294" s="1"/>
  <c r="N294"/>
  <c r="N298"/>
  <c r="O298" s="1"/>
  <c r="O310"/>
  <c r="J310"/>
  <c r="K310" s="1"/>
  <c r="J292"/>
  <c r="K292" s="1"/>
  <c r="N292"/>
  <c r="O277"/>
  <c r="P277" s="1"/>
  <c r="J270"/>
  <c r="K270" s="1"/>
  <c r="N270"/>
  <c r="J266"/>
  <c r="K266" s="1"/>
  <c r="J281"/>
  <c r="K281" s="1"/>
  <c r="N266"/>
  <c r="O281"/>
  <c r="K249"/>
  <c r="O249"/>
  <c r="P240"/>
  <c r="O240"/>
  <c r="N240"/>
  <c r="O234"/>
  <c r="P234"/>
  <c r="J234"/>
  <c r="K234" s="1"/>
  <c r="O236"/>
  <c r="P236" s="1"/>
  <c r="O219"/>
  <c r="K219"/>
  <c r="O150"/>
  <c r="K200"/>
  <c r="N200"/>
  <c r="J150"/>
  <c r="K150" s="1"/>
  <c r="N184"/>
  <c r="P338" l="1"/>
  <c r="P356"/>
  <c r="P340"/>
  <c r="K320"/>
  <c r="O167" l="1"/>
  <c r="C127"/>
  <c r="C142"/>
  <c r="C153"/>
  <c r="I159"/>
  <c r="N159" s="1"/>
  <c r="I157"/>
  <c r="O148"/>
  <c r="N148"/>
  <c r="P153"/>
  <c r="I152"/>
  <c r="O152" s="1"/>
  <c r="C32"/>
  <c r="I24"/>
  <c r="K24" s="1"/>
  <c r="I31"/>
  <c r="K31" s="1"/>
  <c r="I17"/>
  <c r="I16"/>
  <c r="I14"/>
  <c r="I13"/>
  <c r="I12"/>
  <c r="K12" s="1"/>
  <c r="J24" l="1"/>
  <c r="O157"/>
  <c r="J167"/>
  <c r="K167" s="1"/>
  <c r="N167"/>
  <c r="O159"/>
  <c r="J159"/>
  <c r="K159" s="1"/>
  <c r="J157"/>
  <c r="K157" s="1"/>
  <c r="N157"/>
  <c r="J152"/>
  <c r="K152" s="1"/>
  <c r="N152"/>
  <c r="N12"/>
  <c r="N31"/>
  <c r="O31"/>
  <c r="P31"/>
  <c r="P20"/>
  <c r="O20"/>
  <c r="P142"/>
  <c r="K141"/>
  <c r="O133"/>
  <c r="I131"/>
  <c r="I146"/>
  <c r="I153" s="1"/>
  <c r="K148"/>
  <c r="K106"/>
  <c r="J108"/>
  <c r="K43"/>
  <c r="K39"/>
  <c r="K41"/>
  <c r="C25"/>
  <c r="K123"/>
  <c r="K115"/>
  <c r="K89"/>
  <c r="K87"/>
  <c r="K85"/>
  <c r="K83"/>
  <c r="K81"/>
  <c r="K68"/>
  <c r="O146" l="1"/>
  <c r="O153" s="1"/>
  <c r="N146"/>
  <c r="N153" s="1"/>
  <c r="N131"/>
  <c r="N142" s="1"/>
  <c r="O131"/>
  <c r="J131"/>
  <c r="J146"/>
  <c r="H6" i="14"/>
  <c r="J142" i="1" l="1"/>
  <c r="K146"/>
  <c r="K131"/>
  <c r="K27" i="14"/>
  <c r="K19" l="1"/>
  <c r="K13"/>
  <c r="K15"/>
  <c r="K35"/>
  <c r="K9"/>
  <c r="K49"/>
  <c r="K37"/>
  <c r="K25"/>
  <c r="K43"/>
  <c r="K31"/>
  <c r="K11"/>
  <c r="K53"/>
  <c r="K21"/>
  <c r="K57"/>
  <c r="K47"/>
  <c r="K51"/>
  <c r="K41"/>
  <c r="K45"/>
  <c r="K29"/>
  <c r="K39"/>
  <c r="K23"/>
  <c r="K33"/>
  <c r="K17"/>
  <c r="K59" l="1"/>
  <c r="D8" i="6"/>
  <c r="D4" i="7"/>
  <c r="F100" i="1"/>
  <c r="H443" l="1"/>
  <c r="I275"/>
  <c r="O275" s="1"/>
  <c r="P275" s="1"/>
  <c r="I112" l="1"/>
  <c r="I103"/>
  <c r="K103" s="1"/>
  <c r="P103" s="1"/>
  <c r="C23" i="3" l="1"/>
  <c r="C22"/>
  <c r="I304" i="1" l="1"/>
  <c r="P304" s="1"/>
  <c r="J304" l="1"/>
  <c r="K304" s="1"/>
  <c r="I296"/>
  <c r="H119" l="1"/>
  <c r="H135"/>
  <c r="I190" l="1"/>
  <c r="K190" l="1"/>
  <c r="O190"/>
  <c r="N190"/>
  <c r="G362" i="11"/>
  <c r="H314" i="1"/>
  <c r="I314" s="1"/>
  <c r="G26" i="11"/>
  <c r="G326"/>
  <c r="G314"/>
  <c r="G62"/>
  <c r="H349" i="1"/>
  <c r="H351"/>
  <c r="H352"/>
  <c r="H245" l="1"/>
  <c r="I214" l="1"/>
  <c r="P214" l="1"/>
  <c r="J214"/>
  <c r="N214"/>
  <c r="K214" l="1"/>
  <c r="G559" i="11"/>
  <c r="D22" i="3"/>
  <c r="D4"/>
  <c r="D18" i="6"/>
  <c r="D9"/>
  <c r="D18" i="9"/>
  <c r="D8"/>
  <c r="D9"/>
  <c r="E6" i="2" l="1"/>
  <c r="D5" i="9" l="1"/>
  <c r="E27" i="2" l="1"/>
  <c r="D12" i="9" l="1"/>
  <c r="G62" i="1" s="1"/>
  <c r="H62" s="1"/>
  <c r="H57"/>
  <c r="H66" s="1"/>
  <c r="H75"/>
  <c r="H78"/>
  <c r="I91"/>
  <c r="K91" s="1"/>
  <c r="O91" s="1"/>
  <c r="I92"/>
  <c r="K92" s="1"/>
  <c r="O92" s="1"/>
  <c r="I93"/>
  <c r="K93" s="1"/>
  <c r="O93" s="1"/>
  <c r="K94"/>
  <c r="O94" s="1"/>
  <c r="F98"/>
  <c r="O112"/>
  <c r="I113"/>
  <c r="I117"/>
  <c r="J117" s="1"/>
  <c r="I119"/>
  <c r="J119" s="1"/>
  <c r="K119" s="1"/>
  <c r="I121"/>
  <c r="K121" s="1"/>
  <c r="I125"/>
  <c r="J125" s="1"/>
  <c r="I126"/>
  <c r="O126" s="1"/>
  <c r="I135"/>
  <c r="I172"/>
  <c r="I173"/>
  <c r="I174"/>
  <c r="I175"/>
  <c r="I176"/>
  <c r="I177"/>
  <c r="I178"/>
  <c r="I179"/>
  <c r="I186"/>
  <c r="K186" s="1"/>
  <c r="I182"/>
  <c r="K182" s="1"/>
  <c r="O182" s="1"/>
  <c r="I163"/>
  <c r="O163" s="1"/>
  <c r="I164"/>
  <c r="K164" s="1"/>
  <c r="I165"/>
  <c r="O165" s="1"/>
  <c r="I206"/>
  <c r="J206" s="1"/>
  <c r="J210" s="1"/>
  <c r="I215"/>
  <c r="I217"/>
  <c r="O217" s="1"/>
  <c r="O224" s="1"/>
  <c r="I232"/>
  <c r="O314"/>
  <c r="I247"/>
  <c r="P247" s="1"/>
  <c r="I251"/>
  <c r="P251" s="1"/>
  <c r="I264"/>
  <c r="H290"/>
  <c r="I290" s="1"/>
  <c r="N290" s="1"/>
  <c r="O290" s="1"/>
  <c r="H286"/>
  <c r="I286" s="1"/>
  <c r="I289"/>
  <c r="H302"/>
  <c r="I302" s="1"/>
  <c r="J302" s="1"/>
  <c r="K302" s="1"/>
  <c r="H333"/>
  <c r="I333" s="1"/>
  <c r="H342"/>
  <c r="I351" s="1"/>
  <c r="I336"/>
  <c r="I334"/>
  <c r="I344"/>
  <c r="I348"/>
  <c r="I354"/>
  <c r="I363"/>
  <c r="I364"/>
  <c r="I366"/>
  <c r="I367"/>
  <c r="I369"/>
  <c r="I370"/>
  <c r="I372"/>
  <c r="I373"/>
  <c r="J377"/>
  <c r="K377" s="1"/>
  <c r="H378"/>
  <c r="I378" s="1"/>
  <c r="I379"/>
  <c r="H384"/>
  <c r="C108"/>
  <c r="C20"/>
  <c r="C69"/>
  <c r="F385"/>
  <c r="I385" s="1"/>
  <c r="I389"/>
  <c r="N389" s="1"/>
  <c r="I390"/>
  <c r="N390" s="1"/>
  <c r="I392"/>
  <c r="J392" s="1"/>
  <c r="K392" s="1"/>
  <c r="I393"/>
  <c r="O393" s="1"/>
  <c r="I394"/>
  <c r="J394" s="1"/>
  <c r="I396"/>
  <c r="J396" s="1"/>
  <c r="K396" s="1"/>
  <c r="I397"/>
  <c r="J397" s="1"/>
  <c r="K397" s="1"/>
  <c r="I400"/>
  <c r="J400" s="1"/>
  <c r="K400" s="1"/>
  <c r="I401"/>
  <c r="J401" s="1"/>
  <c r="K401" s="1"/>
  <c r="I403"/>
  <c r="J403" s="1"/>
  <c r="K403" s="1"/>
  <c r="I404"/>
  <c r="O404" s="1"/>
  <c r="I405"/>
  <c r="O405" s="1"/>
  <c r="I407"/>
  <c r="P407" s="1"/>
  <c r="I408"/>
  <c r="P408" s="1"/>
  <c r="I411"/>
  <c r="J411" s="1"/>
  <c r="K411" s="1"/>
  <c r="I412"/>
  <c r="N412" s="1"/>
  <c r="H409"/>
  <c r="I409" s="1"/>
  <c r="O409" s="1"/>
  <c r="I416"/>
  <c r="I418"/>
  <c r="O418" s="1"/>
  <c r="I421"/>
  <c r="N421" s="1"/>
  <c r="I422"/>
  <c r="J422" s="1"/>
  <c r="K422" s="1"/>
  <c r="I423"/>
  <c r="N423" s="1"/>
  <c r="I424"/>
  <c r="O424" s="1"/>
  <c r="I425"/>
  <c r="O425" s="1"/>
  <c r="I427"/>
  <c r="J427" s="1"/>
  <c r="I429"/>
  <c r="O429" s="1"/>
  <c r="I435"/>
  <c r="N435" s="1"/>
  <c r="I439"/>
  <c r="J439" s="1"/>
  <c r="I443"/>
  <c r="O443" s="1"/>
  <c r="I444"/>
  <c r="O444" s="1"/>
  <c r="I445"/>
  <c r="I448"/>
  <c r="K13"/>
  <c r="K14"/>
  <c r="N14" s="1"/>
  <c r="K16"/>
  <c r="N16" s="1"/>
  <c r="K17"/>
  <c r="N17" s="1"/>
  <c r="I19"/>
  <c r="O23"/>
  <c r="O25" s="1"/>
  <c r="I29"/>
  <c r="P29" s="1"/>
  <c r="G205"/>
  <c r="D11" i="6"/>
  <c r="G208" i="1" s="1"/>
  <c r="I208" s="1"/>
  <c r="D10" i="6"/>
  <c r="I328" i="1"/>
  <c r="D11" i="3"/>
  <c r="E52" i="2"/>
  <c r="E553" i="11" s="1"/>
  <c r="F553" s="1"/>
  <c r="F557" s="1"/>
  <c r="E51" i="2"/>
  <c r="E50"/>
  <c r="E541" i="11" s="1"/>
  <c r="E49" i="2"/>
  <c r="E529" i="11" s="1"/>
  <c r="E48" i="2"/>
  <c r="E47"/>
  <c r="E517" i="11" s="1"/>
  <c r="E46" i="2"/>
  <c r="E505" i="11" s="1"/>
  <c r="E45" i="2"/>
  <c r="E493" i="11" s="1"/>
  <c r="E44" i="2"/>
  <c r="E481" i="11" s="1"/>
  <c r="F482" s="1"/>
  <c r="H482" s="1"/>
  <c r="N482" s="1"/>
  <c r="E43" i="2"/>
  <c r="E469" i="11" s="1"/>
  <c r="E42" i="2"/>
  <c r="E457" i="11" s="1"/>
  <c r="E41" i="2"/>
  <c r="E445" i="11" s="1"/>
  <c r="E40" i="2"/>
  <c r="E39"/>
  <c r="E421" i="11" s="1"/>
  <c r="F427" s="1"/>
  <c r="H427" s="1"/>
  <c r="P427" s="1"/>
  <c r="E38" i="2"/>
  <c r="E397" i="11" s="1"/>
  <c r="E37" i="2"/>
  <c r="E385" i="11" s="1"/>
  <c r="E36" i="2"/>
  <c r="E373" i="11" s="1"/>
  <c r="E35" i="2"/>
  <c r="E361" i="11" s="1"/>
  <c r="E34" i="2"/>
  <c r="E349" i="11" s="1"/>
  <c r="F349" s="1"/>
  <c r="E33" i="2"/>
  <c r="E337" i="11" s="1"/>
  <c r="E32" i="2"/>
  <c r="E325" i="11" s="1"/>
  <c r="E31" i="2"/>
  <c r="E313" i="11" s="1"/>
  <c r="F314" s="1"/>
  <c r="H314" s="1"/>
  <c r="N314" s="1"/>
  <c r="E30" i="2"/>
  <c r="E301" i="11" s="1"/>
  <c r="E29" i="2"/>
  <c r="E289" i="11" s="1"/>
  <c r="F289" s="1"/>
  <c r="E28" i="2"/>
  <c r="E277" i="11" s="1"/>
  <c r="F283" s="1"/>
  <c r="H283" s="1"/>
  <c r="P283" s="1"/>
  <c r="E26" i="2"/>
  <c r="E253" i="11" s="1"/>
  <c r="E25" i="2"/>
  <c r="E241" i="11" s="1"/>
  <c r="E24" i="2"/>
  <c r="E229" i="11" s="1"/>
  <c r="F232" s="1"/>
  <c r="E23" i="2"/>
  <c r="E22"/>
  <c r="E205" i="11" s="1"/>
  <c r="E21" i="2"/>
  <c r="E193" i="11" s="1"/>
  <c r="E20" i="2"/>
  <c r="E181" i="11" s="1"/>
  <c r="E19" i="2"/>
  <c r="E169" i="11" s="1"/>
  <c r="E18" i="2"/>
  <c r="E157" i="11" s="1"/>
  <c r="F160" s="1"/>
  <c r="E17" i="2"/>
  <c r="E145" i="11" s="1"/>
  <c r="F147" s="1"/>
  <c r="E16" i="2"/>
  <c r="E133" i="11" s="1"/>
  <c r="F134" s="1"/>
  <c r="H134" s="1"/>
  <c r="N134" s="1"/>
  <c r="E15" i="2"/>
  <c r="E121" i="11" s="1"/>
  <c r="E14" i="2"/>
  <c r="E109" i="11" s="1"/>
  <c r="E13" i="2"/>
  <c r="E97" i="11" s="1"/>
  <c r="E12" i="2"/>
  <c r="E85" i="11" s="1"/>
  <c r="E11" i="2"/>
  <c r="E10"/>
  <c r="E73" i="11" s="1"/>
  <c r="E9" i="2"/>
  <c r="E61" i="11" s="1"/>
  <c r="E8" i="2"/>
  <c r="E49" i="11" s="1"/>
  <c r="E7" i="2"/>
  <c r="E37" i="11" s="1"/>
  <c r="E25"/>
  <c r="F25" s="1"/>
  <c r="E265"/>
  <c r="F267" s="1"/>
  <c r="D7" i="9"/>
  <c r="G55" i="1" s="1"/>
  <c r="G71"/>
  <c r="I71" s="1"/>
  <c r="D5" i="3"/>
  <c r="G72" i="1" s="1"/>
  <c r="I72" s="1"/>
  <c r="D12" i="3"/>
  <c r="G74" i="1" s="1"/>
  <c r="I74" s="1"/>
  <c r="D14" i="3"/>
  <c r="G75" i="1" s="1"/>
  <c r="D19" i="3"/>
  <c r="G77" i="1" s="1"/>
  <c r="I77" s="1"/>
  <c r="D21" i="3"/>
  <c r="G78" i="1" s="1"/>
  <c r="C564" i="11"/>
  <c r="C36" i="1" s="1"/>
  <c r="C44" s="1"/>
  <c r="G67" i="11"/>
  <c r="G218"/>
  <c r="G219"/>
  <c r="D15" i="7"/>
  <c r="D23" i="3"/>
  <c r="D10"/>
  <c r="D8"/>
  <c r="I564" i="11"/>
  <c r="G562"/>
  <c r="G561"/>
  <c r="G558"/>
  <c r="G557"/>
  <c r="G556"/>
  <c r="G555"/>
  <c r="G550"/>
  <c r="G549"/>
  <c r="G546"/>
  <c r="G545"/>
  <c r="G544"/>
  <c r="F548"/>
  <c r="G538"/>
  <c r="G537"/>
  <c r="G534"/>
  <c r="G533"/>
  <c r="G532"/>
  <c r="G530"/>
  <c r="G526"/>
  <c r="G525"/>
  <c r="G522"/>
  <c r="G521"/>
  <c r="G514"/>
  <c r="G513"/>
  <c r="G510"/>
  <c r="G509"/>
  <c r="F512"/>
  <c r="G502"/>
  <c r="G501"/>
  <c r="G499"/>
  <c r="G498"/>
  <c r="G497"/>
  <c r="G496"/>
  <c r="G495"/>
  <c r="G490"/>
  <c r="G489"/>
  <c r="G487"/>
  <c r="G486"/>
  <c r="G485"/>
  <c r="G484"/>
  <c r="G483"/>
  <c r="G478"/>
  <c r="G477"/>
  <c r="G475"/>
  <c r="G474"/>
  <c r="G473"/>
  <c r="G472"/>
  <c r="G470"/>
  <c r="G466"/>
  <c r="G465"/>
  <c r="G463"/>
  <c r="G462"/>
  <c r="G461"/>
  <c r="G460"/>
  <c r="G459"/>
  <c r="G454"/>
  <c r="G453"/>
  <c r="G451"/>
  <c r="G450"/>
  <c r="G449"/>
  <c r="G448"/>
  <c r="G447"/>
  <c r="G442"/>
  <c r="G441"/>
  <c r="F439"/>
  <c r="H439" s="1"/>
  <c r="P439" s="1"/>
  <c r="G438"/>
  <c r="F438"/>
  <c r="G437"/>
  <c r="F437"/>
  <c r="G436"/>
  <c r="F436"/>
  <c r="G435"/>
  <c r="F435"/>
  <c r="F434"/>
  <c r="H434" s="1"/>
  <c r="N434" s="1"/>
  <c r="G430"/>
  <c r="G429"/>
  <c r="G426"/>
  <c r="G425"/>
  <c r="G424"/>
  <c r="G423"/>
  <c r="G418"/>
  <c r="G417"/>
  <c r="G414"/>
  <c r="G413"/>
  <c r="G412"/>
  <c r="G406"/>
  <c r="G405"/>
  <c r="G403"/>
  <c r="G402"/>
  <c r="G401"/>
  <c r="G400"/>
  <c r="G399"/>
  <c r="G394"/>
  <c r="G393"/>
  <c r="G390"/>
  <c r="G389"/>
  <c r="G388"/>
  <c r="G387"/>
  <c r="G382"/>
  <c r="G381"/>
  <c r="G378"/>
  <c r="G377"/>
  <c r="G376"/>
  <c r="G375"/>
  <c r="G370"/>
  <c r="G369"/>
  <c r="G366"/>
  <c r="G365"/>
  <c r="G364"/>
  <c r="G363"/>
  <c r="G358"/>
  <c r="G357"/>
  <c r="G354"/>
  <c r="G353"/>
  <c r="G352"/>
  <c r="G351"/>
  <c r="G346"/>
  <c r="G345"/>
  <c r="G342"/>
  <c r="G341"/>
  <c r="G340"/>
  <c r="G339"/>
  <c r="G334"/>
  <c r="G333"/>
  <c r="G331"/>
  <c r="G330"/>
  <c r="G329"/>
  <c r="G328"/>
  <c r="G327"/>
  <c r="G322"/>
  <c r="G321"/>
  <c r="G319"/>
  <c r="G318"/>
  <c r="G317"/>
  <c r="G316"/>
  <c r="G315"/>
  <c r="G310"/>
  <c r="G309"/>
  <c r="G306"/>
  <c r="G305"/>
  <c r="G304"/>
  <c r="G303"/>
  <c r="G298"/>
  <c r="G297"/>
  <c r="G294"/>
  <c r="G293"/>
  <c r="G292"/>
  <c r="G291"/>
  <c r="G286"/>
  <c r="G285"/>
  <c r="G282"/>
  <c r="G281"/>
  <c r="G280"/>
  <c r="G279"/>
  <c r="G274"/>
  <c r="G273"/>
  <c r="G270"/>
  <c r="G269"/>
  <c r="G268"/>
  <c r="G267"/>
  <c r="G262"/>
  <c r="G261"/>
  <c r="G258"/>
  <c r="G257"/>
  <c r="G256"/>
  <c r="G255"/>
  <c r="G250"/>
  <c r="G249"/>
  <c r="G247"/>
  <c r="F248" s="1"/>
  <c r="G246"/>
  <c r="G245"/>
  <c r="G238"/>
  <c r="G237"/>
  <c r="G234"/>
  <c r="G233"/>
  <c r="G232"/>
  <c r="G231"/>
  <c r="F236" s="1"/>
  <c r="G226"/>
  <c r="G225"/>
  <c r="G222"/>
  <c r="G221"/>
  <c r="G220"/>
  <c r="G214"/>
  <c r="G213"/>
  <c r="G210"/>
  <c r="G209"/>
  <c r="G208"/>
  <c r="G207"/>
  <c r="G202"/>
  <c r="G201"/>
  <c r="G198"/>
  <c r="G197"/>
  <c r="G196"/>
  <c r="G195"/>
  <c r="G190"/>
  <c r="G189"/>
  <c r="G186"/>
  <c r="G185"/>
  <c r="G184"/>
  <c r="G183"/>
  <c r="F188" s="1"/>
  <c r="G178"/>
  <c r="G177"/>
  <c r="G174"/>
  <c r="G173"/>
  <c r="G172"/>
  <c r="G171"/>
  <c r="G166"/>
  <c r="G165"/>
  <c r="G162"/>
  <c r="G161"/>
  <c r="G160"/>
  <c r="G159"/>
  <c r="G154"/>
  <c r="G153"/>
  <c r="G150"/>
  <c r="G149"/>
  <c r="G148"/>
  <c r="G147"/>
  <c r="G142"/>
  <c r="G141"/>
  <c r="G138"/>
  <c r="G137"/>
  <c r="G136"/>
  <c r="G135"/>
  <c r="G130"/>
  <c r="G129"/>
  <c r="G127"/>
  <c r="G118"/>
  <c r="G117"/>
  <c r="G115"/>
  <c r="G106"/>
  <c r="G105"/>
  <c r="G103"/>
  <c r="G102"/>
  <c r="G101"/>
  <c r="G100"/>
  <c r="G99"/>
  <c r="G94"/>
  <c r="G93"/>
  <c r="G91"/>
  <c r="G90"/>
  <c r="G89"/>
  <c r="G88"/>
  <c r="G87"/>
  <c r="G82"/>
  <c r="G81"/>
  <c r="G79"/>
  <c r="G78"/>
  <c r="G77"/>
  <c r="G76"/>
  <c r="G75"/>
  <c r="G70"/>
  <c r="G69"/>
  <c r="G66"/>
  <c r="G65"/>
  <c r="G64"/>
  <c r="G63"/>
  <c r="G58"/>
  <c r="G57"/>
  <c r="G54"/>
  <c r="G53"/>
  <c r="G52"/>
  <c r="G51"/>
  <c r="G46"/>
  <c r="G45"/>
  <c r="G42"/>
  <c r="G41"/>
  <c r="G40"/>
  <c r="G39"/>
  <c r="G34"/>
  <c r="G33"/>
  <c r="G30"/>
  <c r="G29"/>
  <c r="G28"/>
  <c r="G27"/>
  <c r="G18"/>
  <c r="G16"/>
  <c r="G15"/>
  <c r="H5"/>
  <c r="E400" s="1"/>
  <c r="D17" i="7"/>
  <c r="I5" i="1"/>
  <c r="D20" i="9"/>
  <c r="D16"/>
  <c r="D10"/>
  <c r="D20" i="3"/>
  <c r="D18"/>
  <c r="D17"/>
  <c r="D16"/>
  <c r="D15"/>
  <c r="D13"/>
  <c r="D9"/>
  <c r="D7"/>
  <c r="D6"/>
  <c r="D41" i="7"/>
  <c r="H455" i="1"/>
  <c r="D21" i="7"/>
  <c r="S23" i="1"/>
  <c r="D53" i="7"/>
  <c r="F6"/>
  <c r="F5"/>
  <c r="D35"/>
  <c r="D57"/>
  <c r="D55"/>
  <c r="D51"/>
  <c r="D49"/>
  <c r="D47"/>
  <c r="D45"/>
  <c r="D43"/>
  <c r="D39"/>
  <c r="D37"/>
  <c r="D33"/>
  <c r="D31"/>
  <c r="D29"/>
  <c r="D27"/>
  <c r="D25"/>
  <c r="D23"/>
  <c r="D19"/>
  <c r="D13"/>
  <c r="D11"/>
  <c r="D9"/>
  <c r="H6"/>
  <c r="J20" i="1"/>
  <c r="I9" i="7" s="1"/>
  <c r="J44" i="1"/>
  <c r="I15" i="7" s="1"/>
  <c r="J95" i="1"/>
  <c r="I17" i="7" s="1"/>
  <c r="I19"/>
  <c r="J191" i="1"/>
  <c r="I29" i="7" s="1"/>
  <c r="I31"/>
  <c r="N9"/>
  <c r="O9"/>
  <c r="O23"/>
  <c r="O25"/>
  <c r="P191" i="1"/>
  <c r="O29" i="7" s="1"/>
  <c r="N31"/>
  <c r="O31"/>
  <c r="M33"/>
  <c r="N33"/>
  <c r="M39"/>
  <c r="N282" i="1"/>
  <c r="M41" i="7" s="1"/>
  <c r="P329" i="1"/>
  <c r="O45" i="7" s="1"/>
  <c r="P440" i="1"/>
  <c r="O55" i="7" s="1"/>
  <c r="N449" i="1"/>
  <c r="M57" i="7" s="1"/>
  <c r="P449" i="1"/>
  <c r="O57" i="7" s="1"/>
  <c r="F416" i="11"/>
  <c r="F524"/>
  <c r="F224"/>
  <c r="J296" i="1"/>
  <c r="K296" s="1"/>
  <c r="J416" l="1"/>
  <c r="K416" s="1"/>
  <c r="I430"/>
  <c r="H53" i="7" s="1"/>
  <c r="M53" i="14" s="1"/>
  <c r="J228" i="1"/>
  <c r="K228" s="1"/>
  <c r="J232"/>
  <c r="K232" s="1"/>
  <c r="I241"/>
  <c r="J379"/>
  <c r="K379" s="1"/>
  <c r="O379"/>
  <c r="N379"/>
  <c r="N367"/>
  <c r="K367"/>
  <c r="O367"/>
  <c r="J370"/>
  <c r="K370" s="1"/>
  <c r="O364"/>
  <c r="K364"/>
  <c r="N364"/>
  <c r="J348"/>
  <c r="K348" s="1"/>
  <c r="O348"/>
  <c r="N348"/>
  <c r="O369"/>
  <c r="N369"/>
  <c r="O366"/>
  <c r="N366"/>
  <c r="K366"/>
  <c r="K372"/>
  <c r="O372"/>
  <c r="N372"/>
  <c r="O363"/>
  <c r="N363"/>
  <c r="K363"/>
  <c r="J354"/>
  <c r="K354" s="1"/>
  <c r="O354"/>
  <c r="N354"/>
  <c r="O334"/>
  <c r="K334"/>
  <c r="J351"/>
  <c r="K351" s="1"/>
  <c r="O351"/>
  <c r="N351"/>
  <c r="K333"/>
  <c r="O373"/>
  <c r="N373"/>
  <c r="N336"/>
  <c r="K336"/>
  <c r="J344"/>
  <c r="K344" s="1"/>
  <c r="O328"/>
  <c r="O329" s="1"/>
  <c r="N45" i="7" s="1"/>
  <c r="I329" i="1"/>
  <c r="H45" i="7" s="1"/>
  <c r="M45" i="14" s="1"/>
  <c r="I316" i="1"/>
  <c r="H43" i="7" s="1"/>
  <c r="M43" i="14" s="1"/>
  <c r="J215" i="1"/>
  <c r="K215" s="1"/>
  <c r="I224"/>
  <c r="H35" i="7" s="1"/>
  <c r="M35" i="14" s="1"/>
  <c r="I205" i="1"/>
  <c r="K205" s="1"/>
  <c r="G102"/>
  <c r="I102" s="1"/>
  <c r="K102" s="1"/>
  <c r="P102" s="1"/>
  <c r="I191"/>
  <c r="H29" i="7" s="1"/>
  <c r="M29" i="14" s="1"/>
  <c r="I168" i="1"/>
  <c r="H27" i="7" s="1"/>
  <c r="M27" i="14" s="1"/>
  <c r="I127" i="1"/>
  <c r="K180"/>
  <c r="K191" s="1"/>
  <c r="K19"/>
  <c r="N19" s="1"/>
  <c r="I20"/>
  <c r="H9" i="7" s="1"/>
  <c r="M9" i="14" s="1"/>
  <c r="O135" i="1"/>
  <c r="O142" s="1"/>
  <c r="Q142" s="1"/>
  <c r="I142"/>
  <c r="H23" i="7" s="1"/>
  <c r="M23" i="14" s="1"/>
  <c r="N13" i="1"/>
  <c r="I25"/>
  <c r="H11" i="7" s="1"/>
  <c r="M11" i="14" s="1"/>
  <c r="J113" i="1"/>
  <c r="K113" s="1"/>
  <c r="F554" i="11"/>
  <c r="H554" s="1"/>
  <c r="N554" s="1"/>
  <c r="F560"/>
  <c r="K563"/>
  <c r="K551"/>
  <c r="K539"/>
  <c r="K527"/>
  <c r="K515"/>
  <c r="K419"/>
  <c r="K503"/>
  <c r="K479"/>
  <c r="K491"/>
  <c r="K467"/>
  <c r="F452"/>
  <c r="K455"/>
  <c r="F440"/>
  <c r="K443"/>
  <c r="K431"/>
  <c r="K407"/>
  <c r="F392"/>
  <c r="K395"/>
  <c r="K383"/>
  <c r="F368"/>
  <c r="K371"/>
  <c r="F356"/>
  <c r="K359"/>
  <c r="F344"/>
  <c r="K347"/>
  <c r="K323"/>
  <c r="K335"/>
  <c r="F308"/>
  <c r="K311"/>
  <c r="K299"/>
  <c r="K287"/>
  <c r="F272"/>
  <c r="K275"/>
  <c r="F260"/>
  <c r="K263"/>
  <c r="K251"/>
  <c r="K239"/>
  <c r="K227"/>
  <c r="E280"/>
  <c r="K215"/>
  <c r="F200"/>
  <c r="K203"/>
  <c r="H438"/>
  <c r="O438" s="1"/>
  <c r="K191"/>
  <c r="F176"/>
  <c r="K179"/>
  <c r="K131"/>
  <c r="K167"/>
  <c r="F152"/>
  <c r="K155"/>
  <c r="F140"/>
  <c r="K143"/>
  <c r="K119"/>
  <c r="K107"/>
  <c r="K95"/>
  <c r="K83"/>
  <c r="E64"/>
  <c r="K47"/>
  <c r="K71"/>
  <c r="E88"/>
  <c r="F32"/>
  <c r="K35"/>
  <c r="F56"/>
  <c r="K59"/>
  <c r="F44"/>
  <c r="E448"/>
  <c r="F20"/>
  <c r="K23"/>
  <c r="K22"/>
  <c r="F422"/>
  <c r="H422" s="1"/>
  <c r="N422" s="1"/>
  <c r="K310"/>
  <c r="K274"/>
  <c r="E112"/>
  <c r="E256"/>
  <c r="K166"/>
  <c r="K214"/>
  <c r="E556"/>
  <c r="K142"/>
  <c r="K154"/>
  <c r="K190"/>
  <c r="K298"/>
  <c r="F332"/>
  <c r="H435"/>
  <c r="O435" s="1"/>
  <c r="F464"/>
  <c r="E544"/>
  <c r="K322"/>
  <c r="K502"/>
  <c r="E160"/>
  <c r="E364"/>
  <c r="E424"/>
  <c r="E244"/>
  <c r="E484"/>
  <c r="K58"/>
  <c r="E136"/>
  <c r="E52"/>
  <c r="K130"/>
  <c r="F164"/>
  <c r="K178"/>
  <c r="K418"/>
  <c r="K466"/>
  <c r="H267"/>
  <c r="O267" s="1"/>
  <c r="E268"/>
  <c r="E220"/>
  <c r="E508"/>
  <c r="E460"/>
  <c r="K238"/>
  <c r="F320"/>
  <c r="K358"/>
  <c r="K454"/>
  <c r="K526"/>
  <c r="H160"/>
  <c r="O160" s="1"/>
  <c r="K262"/>
  <c r="K34"/>
  <c r="K334"/>
  <c r="E292"/>
  <c r="F92"/>
  <c r="E340"/>
  <c r="K442"/>
  <c r="H557"/>
  <c r="O557" s="1"/>
  <c r="E100"/>
  <c r="E352"/>
  <c r="E436"/>
  <c r="H436" s="1"/>
  <c r="O436" s="1"/>
  <c r="E76"/>
  <c r="E316"/>
  <c r="E304"/>
  <c r="E472"/>
  <c r="K514"/>
  <c r="E328"/>
  <c r="E532"/>
  <c r="K118"/>
  <c r="E40"/>
  <c r="E124"/>
  <c r="E412"/>
  <c r="E496"/>
  <c r="K202"/>
  <c r="F104"/>
  <c r="H437"/>
  <c r="O437" s="1"/>
  <c r="J275" i="1"/>
  <c r="K275" s="1"/>
  <c r="I282"/>
  <c r="H41" i="7" s="1"/>
  <c r="M41" i="14" s="1"/>
  <c r="H147" i="11"/>
  <c r="O147" s="1"/>
  <c r="F483"/>
  <c r="H483" s="1"/>
  <c r="F487"/>
  <c r="H487" s="1"/>
  <c r="P487" s="1"/>
  <c r="F485"/>
  <c r="H485" s="1"/>
  <c r="O485" s="1"/>
  <c r="F486"/>
  <c r="H486" s="1"/>
  <c r="O486" s="1"/>
  <c r="F317"/>
  <c r="H317" s="1"/>
  <c r="O317" s="1"/>
  <c r="F319"/>
  <c r="H319" s="1"/>
  <c r="P319" s="1"/>
  <c r="F484"/>
  <c r="G207" i="1"/>
  <c r="I207" s="1"/>
  <c r="O264"/>
  <c r="P264" s="1"/>
  <c r="J168"/>
  <c r="N126"/>
  <c r="J153"/>
  <c r="F97" i="11"/>
  <c r="I75" i="1"/>
  <c r="K421"/>
  <c r="K444"/>
  <c r="E13" i="11"/>
  <c r="F19" s="1"/>
  <c r="H19" s="1"/>
  <c r="P19" s="1"/>
  <c r="F30"/>
  <c r="H30" s="1"/>
  <c r="O30" s="1"/>
  <c r="F31"/>
  <c r="H31" s="1"/>
  <c r="P31" s="1"/>
  <c r="F29"/>
  <c r="H29" s="1"/>
  <c r="O29" s="1"/>
  <c r="F26"/>
  <c r="F28"/>
  <c r="F355"/>
  <c r="H355" s="1"/>
  <c r="P355" s="1"/>
  <c r="F350"/>
  <c r="F354"/>
  <c r="H354" s="1"/>
  <c r="O354" s="1"/>
  <c r="F353"/>
  <c r="H353" s="1"/>
  <c r="O353" s="1"/>
  <c r="F352"/>
  <c r="F351"/>
  <c r="H351" s="1"/>
  <c r="O351" s="1"/>
  <c r="E217"/>
  <c r="I245" i="1"/>
  <c r="O186"/>
  <c r="N334"/>
  <c r="N217"/>
  <c r="J412"/>
  <c r="K412" s="1"/>
  <c r="P396"/>
  <c r="P206"/>
  <c r="O121"/>
  <c r="P121" s="1"/>
  <c r="K425"/>
  <c r="N328"/>
  <c r="N329" s="1"/>
  <c r="K443"/>
  <c r="J328"/>
  <c r="P397"/>
  <c r="J217"/>
  <c r="K217" s="1"/>
  <c r="O435"/>
  <c r="I342"/>
  <c r="N186"/>
  <c r="O392"/>
  <c r="O448"/>
  <c r="K448"/>
  <c r="O445"/>
  <c r="K445"/>
  <c r="O251"/>
  <c r="K251"/>
  <c r="J247"/>
  <c r="K247" s="1"/>
  <c r="O164"/>
  <c r="F318" i="11"/>
  <c r="H318" s="1"/>
  <c r="O318" s="1"/>
  <c r="F279"/>
  <c r="H279" s="1"/>
  <c r="O279" s="1"/>
  <c r="F327"/>
  <c r="H327" s="1"/>
  <c r="O327" s="1"/>
  <c r="F329"/>
  <c r="H329" s="1"/>
  <c r="O329" s="1"/>
  <c r="F326"/>
  <c r="H326" s="1"/>
  <c r="N326" s="1"/>
  <c r="F362"/>
  <c r="F364"/>
  <c r="F365"/>
  <c r="H365" s="1"/>
  <c r="O365" s="1"/>
  <c r="F367"/>
  <c r="H367" s="1"/>
  <c r="P367" s="1"/>
  <c r="F398"/>
  <c r="H398" s="1"/>
  <c r="N398" s="1"/>
  <c r="F402"/>
  <c r="H402" s="1"/>
  <c r="O402" s="1"/>
  <c r="F400"/>
  <c r="H400" s="1"/>
  <c r="O400" s="1"/>
  <c r="F282"/>
  <c r="H282" s="1"/>
  <c r="O282" s="1"/>
  <c r="F423"/>
  <c r="H423" s="1"/>
  <c r="O423" s="1"/>
  <c r="F555"/>
  <c r="H555" s="1"/>
  <c r="O555" s="1"/>
  <c r="F280"/>
  <c r="F426"/>
  <c r="H426" s="1"/>
  <c r="O426" s="1"/>
  <c r="F331"/>
  <c r="H331" s="1"/>
  <c r="P331" s="1"/>
  <c r="F425"/>
  <c r="H425" s="1"/>
  <c r="O425" s="1"/>
  <c r="F424"/>
  <c r="F366"/>
  <c r="H366" s="1"/>
  <c r="O366" s="1"/>
  <c r="F363"/>
  <c r="H363" s="1"/>
  <c r="O363" s="1"/>
  <c r="F559"/>
  <c r="H559" s="1"/>
  <c r="P559" s="1"/>
  <c r="F558"/>
  <c r="H558" s="1"/>
  <c r="F233"/>
  <c r="H233" s="1"/>
  <c r="O233" s="1"/>
  <c r="F230"/>
  <c r="H230" s="1"/>
  <c r="N230" s="1"/>
  <c r="F556"/>
  <c r="F234"/>
  <c r="H234" s="1"/>
  <c r="O234" s="1"/>
  <c r="F231"/>
  <c r="H231" s="1"/>
  <c r="O231" s="1"/>
  <c r="F137"/>
  <c r="H137" s="1"/>
  <c r="O137" s="1"/>
  <c r="F235"/>
  <c r="H235" s="1"/>
  <c r="P235" s="1"/>
  <c r="O403" i="1"/>
  <c r="N377"/>
  <c r="O377" s="1"/>
  <c r="K409"/>
  <c r="N401"/>
  <c r="N427"/>
  <c r="J389"/>
  <c r="K389" s="1"/>
  <c r="P296"/>
  <c r="I349"/>
  <c r="N422"/>
  <c r="N182"/>
  <c r="O427"/>
  <c r="O422"/>
  <c r="J407"/>
  <c r="K407" s="1"/>
  <c r="J126"/>
  <c r="K126" s="1"/>
  <c r="I56"/>
  <c r="G57" s="1"/>
  <c r="J393"/>
  <c r="K393" s="1"/>
  <c r="I380"/>
  <c r="H49" i="7" s="1"/>
  <c r="M49" i="14" s="1"/>
  <c r="N23" i="1"/>
  <c r="N400"/>
  <c r="N112"/>
  <c r="N119"/>
  <c r="J112"/>
  <c r="K165"/>
  <c r="N164"/>
  <c r="O302"/>
  <c r="P314"/>
  <c r="J435"/>
  <c r="H31" i="7"/>
  <c r="M31" i="14" s="1"/>
  <c r="O31" s="1"/>
  <c r="N370" i="1"/>
  <c r="K117"/>
  <c r="P232"/>
  <c r="O370"/>
  <c r="J314"/>
  <c r="K314" s="1"/>
  <c r="O421"/>
  <c r="P421" s="1"/>
  <c r="N425"/>
  <c r="P425" s="1"/>
  <c r="C95"/>
  <c r="C451" s="1"/>
  <c r="F384" s="1"/>
  <c r="I384" s="1"/>
  <c r="J373"/>
  <c r="K373" s="1"/>
  <c r="O336"/>
  <c r="J290"/>
  <c r="K290" s="1"/>
  <c r="O416"/>
  <c r="K206"/>
  <c r="I33" i="7"/>
  <c r="J378" i="1"/>
  <c r="K418"/>
  <c r="N424"/>
  <c r="P424" s="1"/>
  <c r="O411"/>
  <c r="P228"/>
  <c r="J405"/>
  <c r="K405" s="1"/>
  <c r="J31" i="7"/>
  <c r="K125" i="1"/>
  <c r="I78"/>
  <c r="K135"/>
  <c r="K142" s="1"/>
  <c r="N215"/>
  <c r="O439"/>
  <c r="N163"/>
  <c r="O117"/>
  <c r="P215"/>
  <c r="N439"/>
  <c r="N117"/>
  <c r="K208"/>
  <c r="P208"/>
  <c r="N289"/>
  <c r="O289" s="1"/>
  <c r="J289"/>
  <c r="K289" s="1"/>
  <c r="O394"/>
  <c r="J423"/>
  <c r="K423" s="1"/>
  <c r="J264"/>
  <c r="J404"/>
  <c r="K404" s="1"/>
  <c r="N416"/>
  <c r="N429"/>
  <c r="P429" s="1"/>
  <c r="O113"/>
  <c r="I23" i="7"/>
  <c r="J390" i="1"/>
  <c r="K390" s="1"/>
  <c r="J408"/>
  <c r="K408" s="1"/>
  <c r="P168"/>
  <c r="O27" i="7" s="1"/>
  <c r="I449" i="1"/>
  <c r="N344"/>
  <c r="O344" s="1"/>
  <c r="J429"/>
  <c r="K429" s="1"/>
  <c r="J369"/>
  <c r="K369" s="1"/>
  <c r="K439"/>
  <c r="O378"/>
  <c r="O423"/>
  <c r="P423" s="1"/>
  <c r="K163"/>
  <c r="F135" i="11"/>
  <c r="H135" s="1"/>
  <c r="O135" s="1"/>
  <c r="F149"/>
  <c r="H149" s="1"/>
  <c r="O149" s="1"/>
  <c r="F150"/>
  <c r="H150" s="1"/>
  <c r="O150" s="1"/>
  <c r="F138"/>
  <c r="H138" s="1"/>
  <c r="O138" s="1"/>
  <c r="E409"/>
  <c r="F136"/>
  <c r="H136" s="1"/>
  <c r="O136" s="1"/>
  <c r="F139"/>
  <c r="H139" s="1"/>
  <c r="P139" s="1"/>
  <c r="F542"/>
  <c r="H542" s="1"/>
  <c r="N542" s="1"/>
  <c r="F544"/>
  <c r="F545"/>
  <c r="H545" s="1"/>
  <c r="O545" s="1"/>
  <c r="F547"/>
  <c r="H547" s="1"/>
  <c r="P547" s="1"/>
  <c r="F546"/>
  <c r="H546" s="1"/>
  <c r="O546" s="1"/>
  <c r="F543"/>
  <c r="H543" s="1"/>
  <c r="O543" s="1"/>
  <c r="F532"/>
  <c r="F531"/>
  <c r="H531" s="1"/>
  <c r="O531" s="1"/>
  <c r="F534"/>
  <c r="H534" s="1"/>
  <c r="O534" s="1"/>
  <c r="F533"/>
  <c r="H533" s="1"/>
  <c r="O533" s="1"/>
  <c r="F530"/>
  <c r="H530" s="1"/>
  <c r="F535"/>
  <c r="H535" s="1"/>
  <c r="P535" s="1"/>
  <c r="F519"/>
  <c r="H519" s="1"/>
  <c r="O519" s="1"/>
  <c r="F522"/>
  <c r="H522" s="1"/>
  <c r="O522" s="1"/>
  <c r="F511"/>
  <c r="H511" s="1"/>
  <c r="P511" s="1"/>
  <c r="F507"/>
  <c r="H507" s="1"/>
  <c r="O507" s="1"/>
  <c r="F508"/>
  <c r="F506"/>
  <c r="H506" s="1"/>
  <c r="F509"/>
  <c r="H509" s="1"/>
  <c r="O509" s="1"/>
  <c r="F510"/>
  <c r="H510" s="1"/>
  <c r="O510" s="1"/>
  <c r="F498"/>
  <c r="H498" s="1"/>
  <c r="O498" s="1"/>
  <c r="F496"/>
  <c r="F494"/>
  <c r="H494" s="1"/>
  <c r="N494" s="1"/>
  <c r="F497"/>
  <c r="H497" s="1"/>
  <c r="O497" s="1"/>
  <c r="F499"/>
  <c r="H499" s="1"/>
  <c r="P499" s="1"/>
  <c r="F495"/>
  <c r="H495" s="1"/>
  <c r="O495" s="1"/>
  <c r="F460"/>
  <c r="F459"/>
  <c r="H459" s="1"/>
  <c r="O459" s="1"/>
  <c r="F458"/>
  <c r="H458" s="1"/>
  <c r="F461"/>
  <c r="H461" s="1"/>
  <c r="O461" s="1"/>
  <c r="F462"/>
  <c r="H462" s="1"/>
  <c r="O462" s="1"/>
  <c r="F463"/>
  <c r="H463" s="1"/>
  <c r="P463" s="1"/>
  <c r="F450"/>
  <c r="H450" s="1"/>
  <c r="O450" s="1"/>
  <c r="F448"/>
  <c r="F446"/>
  <c r="H446" s="1"/>
  <c r="F449"/>
  <c r="H449" s="1"/>
  <c r="O449" s="1"/>
  <c r="F451"/>
  <c r="H451" s="1"/>
  <c r="P451" s="1"/>
  <c r="F447"/>
  <c r="H447" s="1"/>
  <c r="O447" s="1"/>
  <c r="F401"/>
  <c r="H401" s="1"/>
  <c r="O401" s="1"/>
  <c r="F399"/>
  <c r="H399" s="1"/>
  <c r="F403"/>
  <c r="H403" s="1"/>
  <c r="P403" s="1"/>
  <c r="F391"/>
  <c r="H391" s="1"/>
  <c r="P391" s="1"/>
  <c r="F390"/>
  <c r="H390" s="1"/>
  <c r="O390" s="1"/>
  <c r="F387"/>
  <c r="H387" s="1"/>
  <c r="O387" s="1"/>
  <c r="F389"/>
  <c r="H389" s="1"/>
  <c r="O389" s="1"/>
  <c r="F388"/>
  <c r="F386"/>
  <c r="H386" s="1"/>
  <c r="N386" s="1"/>
  <c r="F377"/>
  <c r="H377" s="1"/>
  <c r="O377" s="1"/>
  <c r="F376"/>
  <c r="F374"/>
  <c r="F378"/>
  <c r="H378" s="1"/>
  <c r="O378" s="1"/>
  <c r="F375"/>
  <c r="F379"/>
  <c r="H379" s="1"/>
  <c r="P379" s="1"/>
  <c r="F338"/>
  <c r="H338" s="1"/>
  <c r="N338" s="1"/>
  <c r="F339"/>
  <c r="H339" s="1"/>
  <c r="O339" s="1"/>
  <c r="F341"/>
  <c r="H341" s="1"/>
  <c r="O341" s="1"/>
  <c r="F342"/>
  <c r="H342" s="1"/>
  <c r="O342" s="1"/>
  <c r="F340"/>
  <c r="F328"/>
  <c r="F306"/>
  <c r="H306" s="1"/>
  <c r="O306" s="1"/>
  <c r="F302"/>
  <c r="H302" s="1"/>
  <c r="F307"/>
  <c r="H307" s="1"/>
  <c r="P307" s="1"/>
  <c r="F304"/>
  <c r="F303"/>
  <c r="H303" s="1"/>
  <c r="O303" s="1"/>
  <c r="F305"/>
  <c r="H305" s="1"/>
  <c r="O305" s="1"/>
  <c r="F290"/>
  <c r="H290" s="1"/>
  <c r="N290" s="1"/>
  <c r="F294"/>
  <c r="H294" s="1"/>
  <c r="O294" s="1"/>
  <c r="F292"/>
  <c r="F291"/>
  <c r="H291" s="1"/>
  <c r="F293"/>
  <c r="H293" s="1"/>
  <c r="O293" s="1"/>
  <c r="F295"/>
  <c r="H295" s="1"/>
  <c r="P295" s="1"/>
  <c r="F268"/>
  <c r="F258"/>
  <c r="H258" s="1"/>
  <c r="O258" s="1"/>
  <c r="F259"/>
  <c r="H259" s="1"/>
  <c r="P259" s="1"/>
  <c r="F255"/>
  <c r="H255" s="1"/>
  <c r="O255" s="1"/>
  <c r="F257"/>
  <c r="H257" s="1"/>
  <c r="O257" s="1"/>
  <c r="F256"/>
  <c r="F254"/>
  <c r="H254" s="1"/>
  <c r="F246"/>
  <c r="H246" s="1"/>
  <c r="O246" s="1"/>
  <c r="F242"/>
  <c r="H242" s="1"/>
  <c r="F244"/>
  <c r="F243"/>
  <c r="H243" s="1"/>
  <c r="O243" s="1"/>
  <c r="F247"/>
  <c r="H247" s="1"/>
  <c r="P247" s="1"/>
  <c r="F245"/>
  <c r="H245" s="1"/>
  <c r="O245" s="1"/>
  <c r="F241"/>
  <c r="F211"/>
  <c r="H211" s="1"/>
  <c r="P211" s="1"/>
  <c r="F208"/>
  <c r="F207"/>
  <c r="H207" s="1"/>
  <c r="O207" s="1"/>
  <c r="F206"/>
  <c r="H206" s="1"/>
  <c r="N206" s="1"/>
  <c r="F209"/>
  <c r="H209" s="1"/>
  <c r="O209" s="1"/>
  <c r="F210"/>
  <c r="H210" s="1"/>
  <c r="O210" s="1"/>
  <c r="F195"/>
  <c r="H195" s="1"/>
  <c r="O195" s="1"/>
  <c r="F197"/>
  <c r="H197" s="1"/>
  <c r="O197" s="1"/>
  <c r="F194"/>
  <c r="H194" s="1"/>
  <c r="N194" s="1"/>
  <c r="F199"/>
  <c r="H199" s="1"/>
  <c r="P199" s="1"/>
  <c r="F196"/>
  <c r="F198"/>
  <c r="H198" s="1"/>
  <c r="O198" s="1"/>
  <c r="F151"/>
  <c r="H151" s="1"/>
  <c r="P151" s="1"/>
  <c r="F146"/>
  <c r="H146" s="1"/>
  <c r="N146" s="1"/>
  <c r="F148"/>
  <c r="F183"/>
  <c r="H183" s="1"/>
  <c r="O183" s="1"/>
  <c r="F182"/>
  <c r="H182" s="1"/>
  <c r="N182" s="1"/>
  <c r="F185"/>
  <c r="H185" s="1"/>
  <c r="O185" s="1"/>
  <c r="F186"/>
  <c r="H186" s="1"/>
  <c r="O186" s="1"/>
  <c r="F171"/>
  <c r="H171" s="1"/>
  <c r="O171" s="1"/>
  <c r="F170"/>
  <c r="H170" s="1"/>
  <c r="N170" s="1"/>
  <c r="F173"/>
  <c r="H173" s="1"/>
  <c r="O173" s="1"/>
  <c r="F172"/>
  <c r="F174"/>
  <c r="H174" s="1"/>
  <c r="O174" s="1"/>
  <c r="F175"/>
  <c r="H175" s="1"/>
  <c r="P175" s="1"/>
  <c r="F124"/>
  <c r="H124" s="1"/>
  <c r="O124" s="1"/>
  <c r="F123"/>
  <c r="H123" s="1"/>
  <c r="O123" s="1"/>
  <c r="F125"/>
  <c r="H125" s="1"/>
  <c r="O125" s="1"/>
  <c r="F126"/>
  <c r="H126" s="1"/>
  <c r="O126" s="1"/>
  <c r="F122"/>
  <c r="H122" s="1"/>
  <c r="N122" s="1"/>
  <c r="F127"/>
  <c r="H127" s="1"/>
  <c r="P127" s="1"/>
  <c r="F112"/>
  <c r="H112" s="1"/>
  <c r="O112" s="1"/>
  <c r="F115"/>
  <c r="H115" s="1"/>
  <c r="P115" s="1"/>
  <c r="F110"/>
  <c r="H110" s="1"/>
  <c r="N110" s="1"/>
  <c r="F113"/>
  <c r="H113" s="1"/>
  <c r="O113" s="1"/>
  <c r="F86"/>
  <c r="H86" s="1"/>
  <c r="N86" s="1"/>
  <c r="F87"/>
  <c r="H87" s="1"/>
  <c r="O87" s="1"/>
  <c r="F89"/>
  <c r="H89" s="1"/>
  <c r="O89" s="1"/>
  <c r="F88"/>
  <c r="F91"/>
  <c r="H91" s="1"/>
  <c r="P91" s="1"/>
  <c r="F90"/>
  <c r="H90" s="1"/>
  <c r="O90" s="1"/>
  <c r="F78"/>
  <c r="H78" s="1"/>
  <c r="O78" s="1"/>
  <c r="F77"/>
  <c r="H77" s="1"/>
  <c r="O77" s="1"/>
  <c r="F74"/>
  <c r="H74" s="1"/>
  <c r="N74" s="1"/>
  <c r="F79"/>
  <c r="H79" s="1"/>
  <c r="P79" s="1"/>
  <c r="F76"/>
  <c r="F75"/>
  <c r="H75" s="1"/>
  <c r="F66"/>
  <c r="H66" s="1"/>
  <c r="O66" s="1"/>
  <c r="F63"/>
  <c r="H63" s="1"/>
  <c r="F65"/>
  <c r="H65" s="1"/>
  <c r="O65" s="1"/>
  <c r="F62"/>
  <c r="H62" s="1"/>
  <c r="N62" s="1"/>
  <c r="F67"/>
  <c r="H67" s="1"/>
  <c r="P67" s="1"/>
  <c r="F64"/>
  <c r="F51"/>
  <c r="H51" s="1"/>
  <c r="O51" s="1"/>
  <c r="F55"/>
  <c r="H55" s="1"/>
  <c r="P55" s="1"/>
  <c r="F53"/>
  <c r="H53" s="1"/>
  <c r="O53" s="1"/>
  <c r="F50"/>
  <c r="H50" s="1"/>
  <c r="N50" s="1"/>
  <c r="F54"/>
  <c r="H54" s="1"/>
  <c r="F52"/>
  <c r="F41"/>
  <c r="H41" s="1"/>
  <c r="O41" s="1"/>
  <c r="F39"/>
  <c r="H39" s="1"/>
  <c r="O39" s="1"/>
  <c r="F40"/>
  <c r="F43"/>
  <c r="H43" s="1"/>
  <c r="P43" s="1"/>
  <c r="F42"/>
  <c r="H42" s="1"/>
  <c r="O42" s="1"/>
  <c r="F38"/>
  <c r="H38" s="1"/>
  <c r="N38" s="1"/>
  <c r="F488"/>
  <c r="K490"/>
  <c r="F500"/>
  <c r="F536"/>
  <c r="K538"/>
  <c r="K550"/>
  <c r="K562"/>
  <c r="F161"/>
  <c r="H161" s="1"/>
  <c r="O161" s="1"/>
  <c r="F163"/>
  <c r="H163" s="1"/>
  <c r="P163" s="1"/>
  <c r="F159"/>
  <c r="H159" s="1"/>
  <c r="O159" s="1"/>
  <c r="F162"/>
  <c r="H162" s="1"/>
  <c r="O162" s="1"/>
  <c r="F158"/>
  <c r="H158" s="1"/>
  <c r="K394" i="1"/>
  <c r="K370" i="11"/>
  <c r="K394"/>
  <c r="O333" i="1"/>
  <c r="N333"/>
  <c r="M23" i="7"/>
  <c r="N286" i="1"/>
  <c r="J286"/>
  <c r="F80" i="11"/>
  <c r="K82"/>
  <c r="K94"/>
  <c r="N35" i="7"/>
  <c r="K70" i="11"/>
  <c r="F284"/>
  <c r="K286"/>
  <c r="K478"/>
  <c r="F476"/>
  <c r="F68"/>
  <c r="K250"/>
  <c r="M31" i="7"/>
  <c r="Q200" i="1"/>
  <c r="P31" i="7" s="1"/>
  <c r="F404" i="11"/>
  <c r="K406"/>
  <c r="K430"/>
  <c r="F428"/>
  <c r="K46"/>
  <c r="F116"/>
  <c r="F128"/>
  <c r="F212"/>
  <c r="K226"/>
  <c r="K348"/>
  <c r="K106"/>
  <c r="F296"/>
  <c r="F315"/>
  <c r="H315" s="1"/>
  <c r="F316"/>
  <c r="F471"/>
  <c r="H471" s="1"/>
  <c r="O471" s="1"/>
  <c r="F474"/>
  <c r="H474" s="1"/>
  <c r="O474" s="1"/>
  <c r="F470"/>
  <c r="H470" s="1"/>
  <c r="F475"/>
  <c r="H475" s="1"/>
  <c r="P475" s="1"/>
  <c r="F472"/>
  <c r="F473"/>
  <c r="H473" s="1"/>
  <c r="O473" s="1"/>
  <c r="F380"/>
  <c r="K382"/>
  <c r="F281"/>
  <c r="H281" s="1"/>
  <c r="O281" s="1"/>
  <c r="F278"/>
  <c r="H278" s="1"/>
  <c r="F520"/>
  <c r="H520" s="1"/>
  <c r="O520" s="1"/>
  <c r="F343"/>
  <c r="H343" s="1"/>
  <c r="P343" s="1"/>
  <c r="F330"/>
  <c r="H330" s="1"/>
  <c r="O330" s="1"/>
  <c r="F270"/>
  <c r="H270" s="1"/>
  <c r="O270" s="1"/>
  <c r="F111"/>
  <c r="H111" s="1"/>
  <c r="O111" s="1"/>
  <c r="N11" i="7"/>
  <c r="K427" i="1"/>
  <c r="E172" i="11"/>
  <c r="E232"/>
  <c r="H232" s="1"/>
  <c r="F523"/>
  <c r="H523" s="1"/>
  <c r="P523" s="1"/>
  <c r="F518"/>
  <c r="H518" s="1"/>
  <c r="F269"/>
  <c r="H269" s="1"/>
  <c r="O269" s="1"/>
  <c r="F266"/>
  <c r="H266" s="1"/>
  <c r="F187"/>
  <c r="H187" s="1"/>
  <c r="P187" s="1"/>
  <c r="F114"/>
  <c r="H114" s="1"/>
  <c r="O114" s="1"/>
  <c r="F184"/>
  <c r="N418" i="1"/>
  <c r="E16" i="11"/>
  <c r="E184"/>
  <c r="E376"/>
  <c r="E28"/>
  <c r="E196"/>
  <c r="E388"/>
  <c r="F521"/>
  <c r="H521" s="1"/>
  <c r="O521" s="1"/>
  <c r="F271"/>
  <c r="H271" s="1"/>
  <c r="P271" s="1"/>
  <c r="E148"/>
  <c r="E208"/>
  <c r="O29" i="1"/>
  <c r="N29"/>
  <c r="J29"/>
  <c r="J32" s="1"/>
  <c r="J23"/>
  <c r="J25" s="1"/>
  <c r="J424"/>
  <c r="K424" s="1"/>
  <c r="H25" i="7"/>
  <c r="M25" i="14" s="1"/>
  <c r="O119" i="1"/>
  <c r="N113"/>
  <c r="D13" i="9"/>
  <c r="D17"/>
  <c r="D21"/>
  <c r="D6"/>
  <c r="G50" i="1" s="1"/>
  <c r="D14" i="9"/>
  <c r="D22"/>
  <c r="D15"/>
  <c r="D19"/>
  <c r="D23"/>
  <c r="D11"/>
  <c r="G60" i="1" l="1"/>
  <c r="H60" s="1"/>
  <c r="G479"/>
  <c r="I479" s="1"/>
  <c r="N11" i="14"/>
  <c r="O11"/>
  <c r="N35"/>
  <c r="O35"/>
  <c r="N25"/>
  <c r="O25"/>
  <c r="N27"/>
  <c r="O27"/>
  <c r="N41"/>
  <c r="O41"/>
  <c r="N23"/>
  <c r="O23"/>
  <c r="N43"/>
  <c r="O43"/>
  <c r="N45"/>
  <c r="O45"/>
  <c r="N29"/>
  <c r="O29"/>
  <c r="N53"/>
  <c r="O53"/>
  <c r="N9"/>
  <c r="O9"/>
  <c r="N49"/>
  <c r="O49"/>
  <c r="P364" i="1"/>
  <c r="P379"/>
  <c r="P380" s="1"/>
  <c r="O49" i="7" s="1"/>
  <c r="P372" i="1"/>
  <c r="P351"/>
  <c r="P413"/>
  <c r="O51" i="7" s="1"/>
  <c r="P354" i="1"/>
  <c r="J380"/>
  <c r="I49" i="7" s="1"/>
  <c r="P366" i="1"/>
  <c r="P348"/>
  <c r="P336"/>
  <c r="O385"/>
  <c r="O413" s="1"/>
  <c r="N51" i="7" s="1"/>
  <c r="I413" i="1"/>
  <c r="H51" i="7" s="1"/>
  <c r="M51" i="14" s="1"/>
  <c r="P373" i="1"/>
  <c r="P334"/>
  <c r="P363"/>
  <c r="P369"/>
  <c r="J349"/>
  <c r="K349" s="1"/>
  <c r="N349"/>
  <c r="O349"/>
  <c r="P367"/>
  <c r="J342"/>
  <c r="Q329"/>
  <c r="N316"/>
  <c r="M43" i="7" s="1"/>
  <c r="P316" i="1"/>
  <c r="O43" i="7" s="1"/>
  <c r="K328" i="1"/>
  <c r="K329" s="1"/>
  <c r="J45" i="7" s="1"/>
  <c r="J329" i="1"/>
  <c r="I45" i="7" s="1"/>
  <c r="J316" i="1"/>
  <c r="I43" i="7" s="1"/>
  <c r="K224" i="1"/>
  <c r="J35" i="7" s="1"/>
  <c r="O245" i="1"/>
  <c r="I252"/>
  <c r="H39" i="7" s="1"/>
  <c r="M39" i="14" s="1"/>
  <c r="P205" i="1"/>
  <c r="N224"/>
  <c r="M35" i="7" s="1"/>
  <c r="P224" i="1"/>
  <c r="O35" i="7" s="1"/>
  <c r="J224" i="1"/>
  <c r="I35" i="7" s="1"/>
  <c r="I210" i="1"/>
  <c r="H33" i="7" s="1"/>
  <c r="M33" i="14" s="1"/>
  <c r="N168" i="1"/>
  <c r="O168"/>
  <c r="N27" i="7" s="1"/>
  <c r="O180" i="1"/>
  <c r="O191" s="1"/>
  <c r="N29" i="7" s="1"/>
  <c r="J29"/>
  <c r="I27"/>
  <c r="O127" i="1"/>
  <c r="N21" i="7" s="1"/>
  <c r="I25"/>
  <c r="P127" i="1"/>
  <c r="O21" i="7" s="1"/>
  <c r="K20" i="1"/>
  <c r="J9" i="7" s="1"/>
  <c r="N20" i="1"/>
  <c r="Q20" s="1"/>
  <c r="P9" i="7" s="1"/>
  <c r="J127" i="1"/>
  <c r="I21" i="7" s="1"/>
  <c r="N25" i="1"/>
  <c r="N127"/>
  <c r="K112"/>
  <c r="H350" i="11"/>
  <c r="N350" s="1"/>
  <c r="H362"/>
  <c r="N362" s="1"/>
  <c r="H374"/>
  <c r="N374" s="1"/>
  <c r="H375"/>
  <c r="O375" s="1"/>
  <c r="H280"/>
  <c r="O280" s="1"/>
  <c r="H364"/>
  <c r="O364" s="1"/>
  <c r="H532"/>
  <c r="O532" s="1"/>
  <c r="H328"/>
  <c r="O328" s="1"/>
  <c r="H256"/>
  <c r="O256" s="1"/>
  <c r="H460"/>
  <c r="O460" s="1"/>
  <c r="H64"/>
  <c r="O64" s="1"/>
  <c r="H448"/>
  <c r="O448" s="1"/>
  <c r="H52"/>
  <c r="O52" s="1"/>
  <c r="H88"/>
  <c r="H92" s="1"/>
  <c r="H316"/>
  <c r="O316" s="1"/>
  <c r="H292"/>
  <c r="O292" s="1"/>
  <c r="H76"/>
  <c r="O76" s="1"/>
  <c r="H40"/>
  <c r="O40" s="1"/>
  <c r="H440"/>
  <c r="H424"/>
  <c r="O424" s="1"/>
  <c r="H244"/>
  <c r="O244" s="1"/>
  <c r="F441"/>
  <c r="H441" s="1"/>
  <c r="P441" s="1"/>
  <c r="H352"/>
  <c r="H544"/>
  <c r="O544" s="1"/>
  <c r="H556"/>
  <c r="O556" s="1"/>
  <c r="H484"/>
  <c r="O484" s="1"/>
  <c r="H340"/>
  <c r="O340" s="1"/>
  <c r="H496"/>
  <c r="O496" s="1"/>
  <c r="H304"/>
  <c r="O304" s="1"/>
  <c r="H268"/>
  <c r="O268" s="1"/>
  <c r="H508"/>
  <c r="O508" s="1"/>
  <c r="H472"/>
  <c r="O472" s="1"/>
  <c r="H184"/>
  <c r="O184" s="1"/>
  <c r="H57" i="7"/>
  <c r="M57" i="14" s="1"/>
  <c r="J282" i="1"/>
  <c r="I41" i="7" s="1"/>
  <c r="H21"/>
  <c r="M21" i="14" s="1"/>
  <c r="O282" i="1"/>
  <c r="N41" i="7" s="1"/>
  <c r="F18" i="11"/>
  <c r="H18" s="1"/>
  <c r="O18" s="1"/>
  <c r="F16"/>
  <c r="H16" s="1"/>
  <c r="O16" s="1"/>
  <c r="F15"/>
  <c r="H15" s="1"/>
  <c r="O15" s="1"/>
  <c r="F14"/>
  <c r="H14" s="1"/>
  <c r="N14" s="1"/>
  <c r="F17"/>
  <c r="H17" s="1"/>
  <c r="O17" s="1"/>
  <c r="H208"/>
  <c r="O208" s="1"/>
  <c r="K153" i="1"/>
  <c r="K79"/>
  <c r="O79" s="1"/>
  <c r="N25" i="7"/>
  <c r="F99" i="11"/>
  <c r="H99" s="1"/>
  <c r="O99" s="1"/>
  <c r="F102"/>
  <c r="H102" s="1"/>
  <c r="O102" s="1"/>
  <c r="F101"/>
  <c r="H101" s="1"/>
  <c r="O101" s="1"/>
  <c r="F103"/>
  <c r="H103" s="1"/>
  <c r="P103" s="1"/>
  <c r="F100"/>
  <c r="H100" s="1"/>
  <c r="O100" s="1"/>
  <c r="F98"/>
  <c r="H98" s="1"/>
  <c r="I51" i="1"/>
  <c r="K241"/>
  <c r="J37" i="7" s="1"/>
  <c r="N241" i="1"/>
  <c r="M37" i="7" s="1"/>
  <c r="H37"/>
  <c r="M37" i="14" s="1"/>
  <c r="O241" i="1"/>
  <c r="N37" i="7" s="1"/>
  <c r="J245" i="1"/>
  <c r="F221" i="11"/>
  <c r="H221" s="1"/>
  <c r="O221" s="1"/>
  <c r="F220"/>
  <c r="H220" s="1"/>
  <c r="O220" s="1"/>
  <c r="F219"/>
  <c r="H219" s="1"/>
  <c r="O219" s="1"/>
  <c r="F218"/>
  <c r="H218" s="1"/>
  <c r="N218" s="1"/>
  <c r="F223"/>
  <c r="H223" s="1"/>
  <c r="P223" s="1"/>
  <c r="F222"/>
  <c r="H222" s="1"/>
  <c r="O222" s="1"/>
  <c r="M45" i="7"/>
  <c r="O449" i="1"/>
  <c r="Q449" s="1"/>
  <c r="P57" i="7" s="1"/>
  <c r="O342" i="1"/>
  <c r="P342" s="1"/>
  <c r="M25" i="7"/>
  <c r="O380" i="1"/>
  <c r="N49" i="7" s="1"/>
  <c r="P422" i="1"/>
  <c r="K378"/>
  <c r="K380" s="1"/>
  <c r="J49" i="7" s="1"/>
  <c r="K435" i="1"/>
  <c r="P23"/>
  <c r="N180"/>
  <c r="N191" s="1"/>
  <c r="H388" i="11"/>
  <c r="H392" s="1"/>
  <c r="H172"/>
  <c r="O172" s="1"/>
  <c r="H128"/>
  <c r="I11" i="7"/>
  <c r="P427" i="1"/>
  <c r="N380"/>
  <c r="M49" i="7" s="1"/>
  <c r="P416" i="1"/>
  <c r="G61"/>
  <c r="H61" s="1"/>
  <c r="P241"/>
  <c r="O37" i="7" s="1"/>
  <c r="N430" i="1"/>
  <c r="M53" i="7" s="1"/>
  <c r="P370" i="1"/>
  <c r="K207"/>
  <c r="K210" s="1"/>
  <c r="P207"/>
  <c r="P333"/>
  <c r="J449"/>
  <c r="I57" i="7" s="1"/>
  <c r="K449" i="1"/>
  <c r="J57" i="7" s="1"/>
  <c r="N385" i="1"/>
  <c r="P418"/>
  <c r="J385"/>
  <c r="J23" i="7"/>
  <c r="J241" i="1"/>
  <c r="I37" i="7" s="1"/>
  <c r="O430" i="1"/>
  <c r="N53" i="7" s="1"/>
  <c r="O286" i="1"/>
  <c r="O316" s="1"/>
  <c r="P344"/>
  <c r="P282"/>
  <c r="O41" i="7" s="1"/>
  <c r="K264" i="1"/>
  <c r="K282" s="1"/>
  <c r="J41" i="7" s="1"/>
  <c r="O54" i="11"/>
  <c r="H196"/>
  <c r="O196" s="1"/>
  <c r="F129"/>
  <c r="H129" s="1"/>
  <c r="P129" s="1"/>
  <c r="H140"/>
  <c r="H148"/>
  <c r="H152" s="1"/>
  <c r="F141"/>
  <c r="E142" s="1"/>
  <c r="F142" s="1"/>
  <c r="H142" s="1"/>
  <c r="H376"/>
  <c r="F411"/>
  <c r="H411" s="1"/>
  <c r="O411" s="1"/>
  <c r="F410"/>
  <c r="H410" s="1"/>
  <c r="F412"/>
  <c r="H412" s="1"/>
  <c r="O412" s="1"/>
  <c r="F415"/>
  <c r="H415" s="1"/>
  <c r="P415" s="1"/>
  <c r="F414"/>
  <c r="H414" s="1"/>
  <c r="O414" s="1"/>
  <c r="F413"/>
  <c r="H413" s="1"/>
  <c r="O413" s="1"/>
  <c r="N506"/>
  <c r="N458"/>
  <c r="N446"/>
  <c r="N302"/>
  <c r="N254"/>
  <c r="N242"/>
  <c r="H28"/>
  <c r="O28" s="1"/>
  <c r="H26"/>
  <c r="N26" s="1"/>
  <c r="F27"/>
  <c r="H27" s="1"/>
  <c r="O27" s="1"/>
  <c r="N470"/>
  <c r="O232"/>
  <c r="H236"/>
  <c r="F237"/>
  <c r="O399"/>
  <c r="H404"/>
  <c r="F405"/>
  <c r="O483"/>
  <c r="O291"/>
  <c r="O75"/>
  <c r="K286" i="1"/>
  <c r="K316" s="1"/>
  <c r="N158" i="11"/>
  <c r="H164"/>
  <c r="F165"/>
  <c r="N518"/>
  <c r="H524"/>
  <c r="F525"/>
  <c r="N278"/>
  <c r="O315"/>
  <c r="O558"/>
  <c r="F117"/>
  <c r="N266"/>
  <c r="I352" i="1"/>
  <c r="H358"/>
  <c r="O63" i="11"/>
  <c r="H116"/>
  <c r="N530"/>
  <c r="K29" i="1"/>
  <c r="I13" i="7"/>
  <c r="K23" i="1"/>
  <c r="K430"/>
  <c r="J53" i="7" s="1"/>
  <c r="J430" i="1"/>
  <c r="I53" i="7" s="1"/>
  <c r="I57" i="1"/>
  <c r="F58"/>
  <c r="G58" s="1"/>
  <c r="I58" s="1"/>
  <c r="F57" i="11" l="1"/>
  <c r="H57" s="1"/>
  <c r="P57" s="1"/>
  <c r="H356"/>
  <c r="P479" i="1"/>
  <c r="P480" s="1"/>
  <c r="I480"/>
  <c r="K479"/>
  <c r="K480" s="1"/>
  <c r="F381" i="11"/>
  <c r="E382" s="1"/>
  <c r="F382" s="1"/>
  <c r="H382" s="1"/>
  <c r="N51" i="14"/>
  <c r="O51"/>
  <c r="O39"/>
  <c r="N39"/>
  <c r="N33"/>
  <c r="O33"/>
  <c r="N21"/>
  <c r="O21"/>
  <c r="N57"/>
  <c r="O57"/>
  <c r="N37"/>
  <c r="O37"/>
  <c r="N413" i="1"/>
  <c r="M51" i="7" s="1"/>
  <c r="K385" i="1"/>
  <c r="J413"/>
  <c r="I51" i="7" s="1"/>
  <c r="J352" i="1"/>
  <c r="O352"/>
  <c r="N352"/>
  <c r="P349"/>
  <c r="K342"/>
  <c r="Q316"/>
  <c r="P43" i="7" s="1"/>
  <c r="J43"/>
  <c r="K245" i="1"/>
  <c r="J252"/>
  <c r="I39" i="7" s="1"/>
  <c r="P245" i="1"/>
  <c r="O252"/>
  <c r="N39" i="7" s="1"/>
  <c r="P210" i="1"/>
  <c r="Q210" s="1"/>
  <c r="Q168"/>
  <c r="P27" i="7" s="1"/>
  <c r="M27"/>
  <c r="Q191" i="1"/>
  <c r="P29" i="7" s="1"/>
  <c r="K168" i="1"/>
  <c r="J27" i="7" s="1"/>
  <c r="M9"/>
  <c r="Q127" i="1"/>
  <c r="P21" i="7" s="1"/>
  <c r="K25" i="1"/>
  <c r="J11" i="7" s="1"/>
  <c r="P25" i="1"/>
  <c r="O11" i="7" s="1"/>
  <c r="K127" i="1"/>
  <c r="J21" i="7" s="1"/>
  <c r="J25"/>
  <c r="M11"/>
  <c r="M21"/>
  <c r="G52" i="1"/>
  <c r="F53" s="1"/>
  <c r="G53" s="1"/>
  <c r="I53" s="1"/>
  <c r="H536" i="11"/>
  <c r="F333"/>
  <c r="E334" s="1"/>
  <c r="F334" s="1"/>
  <c r="H334" s="1"/>
  <c r="F369"/>
  <c r="E370" s="1"/>
  <c r="F370" s="1"/>
  <c r="H370" s="1"/>
  <c r="H368"/>
  <c r="F537"/>
  <c r="E538" s="1"/>
  <c r="F538" s="1"/>
  <c r="H538" s="1"/>
  <c r="F285"/>
  <c r="E286" s="1"/>
  <c r="F286" s="1"/>
  <c r="H286" s="1"/>
  <c r="H284"/>
  <c r="H260"/>
  <c r="H464"/>
  <c r="H332"/>
  <c r="F261"/>
  <c r="E262" s="1"/>
  <c r="F262" s="1"/>
  <c r="H262" s="1"/>
  <c r="H56"/>
  <c r="P142"/>
  <c r="F143"/>
  <c r="H143" s="1"/>
  <c r="P143" s="1"/>
  <c r="H68"/>
  <c r="F69"/>
  <c r="E70" s="1"/>
  <c r="F70" s="1"/>
  <c r="H70" s="1"/>
  <c r="F93"/>
  <c r="E94" s="1"/>
  <c r="F94" s="1"/>
  <c r="H94" s="1"/>
  <c r="H452"/>
  <c r="F465"/>
  <c r="E466" s="1"/>
  <c r="F466" s="1"/>
  <c r="H466" s="1"/>
  <c r="O352"/>
  <c r="O88"/>
  <c r="F321"/>
  <c r="H321" s="1"/>
  <c r="P321" s="1"/>
  <c r="H320"/>
  <c r="F357"/>
  <c r="E358" s="1"/>
  <c r="F358" s="1"/>
  <c r="F453"/>
  <c r="H453" s="1"/>
  <c r="P453" s="1"/>
  <c r="F489"/>
  <c r="E490" s="1"/>
  <c r="F490" s="1"/>
  <c r="H490" s="1"/>
  <c r="H476"/>
  <c r="F513"/>
  <c r="H513" s="1"/>
  <c r="H512"/>
  <c r="F45"/>
  <c r="E46" s="1"/>
  <c r="F46" s="1"/>
  <c r="H46" s="1"/>
  <c r="P46" s="1"/>
  <c r="H560"/>
  <c r="F561"/>
  <c r="E562" s="1"/>
  <c r="F562" s="1"/>
  <c r="H562" s="1"/>
  <c r="F549"/>
  <c r="H549" s="1"/>
  <c r="P549" s="1"/>
  <c r="H548"/>
  <c r="F81"/>
  <c r="E82" s="1"/>
  <c r="F82" s="1"/>
  <c r="H82" s="1"/>
  <c r="H80"/>
  <c r="F345"/>
  <c r="H345" s="1"/>
  <c r="P345" s="1"/>
  <c r="F297"/>
  <c r="H297" s="1"/>
  <c r="P297" s="1"/>
  <c r="H44"/>
  <c r="H344"/>
  <c r="H296"/>
  <c r="E442"/>
  <c r="F442" s="1"/>
  <c r="H442" s="1"/>
  <c r="H248"/>
  <c r="F309"/>
  <c r="H309" s="1"/>
  <c r="P309" s="1"/>
  <c r="F249"/>
  <c r="E250" s="1"/>
  <c r="F250" s="1"/>
  <c r="H250" s="1"/>
  <c r="F429"/>
  <c r="H429" s="1"/>
  <c r="P429" s="1"/>
  <c r="H500"/>
  <c r="H428"/>
  <c r="H308"/>
  <c r="F501"/>
  <c r="E502" s="1"/>
  <c r="F502" s="1"/>
  <c r="H502" s="1"/>
  <c r="H488"/>
  <c r="F477"/>
  <c r="E478" s="1"/>
  <c r="F478" s="1"/>
  <c r="H478" s="1"/>
  <c r="F189"/>
  <c r="E190" s="1"/>
  <c r="F190" s="1"/>
  <c r="H190" s="1"/>
  <c r="H188"/>
  <c r="H272"/>
  <c r="F273"/>
  <c r="H273" s="1"/>
  <c r="P273" s="1"/>
  <c r="H212"/>
  <c r="F213"/>
  <c r="H213" s="1"/>
  <c r="P213" s="1"/>
  <c r="F105"/>
  <c r="E106" s="1"/>
  <c r="F106" s="1"/>
  <c r="H106" s="1"/>
  <c r="F107" s="1"/>
  <c r="H107" s="1"/>
  <c r="P107" s="1"/>
  <c r="F21"/>
  <c r="E22" s="1"/>
  <c r="F22" s="1"/>
  <c r="G104" i="1"/>
  <c r="I104" s="1"/>
  <c r="K104" s="1"/>
  <c r="F393" i="11"/>
  <c r="E394" s="1"/>
  <c r="F394" s="1"/>
  <c r="H394" s="1"/>
  <c r="H104"/>
  <c r="N98"/>
  <c r="O388"/>
  <c r="H224"/>
  <c r="F225"/>
  <c r="H225" s="1"/>
  <c r="P225" s="1"/>
  <c r="P45" i="7"/>
  <c r="I358" i="1"/>
  <c r="I359"/>
  <c r="N57" i="7"/>
  <c r="Q224" i="1"/>
  <c r="P35" i="7" s="1"/>
  <c r="Q153" i="1"/>
  <c r="P25" i="7" s="1"/>
  <c r="Q380" i="1"/>
  <c r="P49" i="7" s="1"/>
  <c r="Q241" i="1"/>
  <c r="P37" i="7" s="1"/>
  <c r="P430" i="1"/>
  <c r="O53" i="7" s="1"/>
  <c r="J33"/>
  <c r="F177" i="11"/>
  <c r="H177" s="1"/>
  <c r="P177" s="1"/>
  <c r="H176"/>
  <c r="E130"/>
  <c r="F130" s="1"/>
  <c r="H130" s="1"/>
  <c r="H380"/>
  <c r="H141"/>
  <c r="O376"/>
  <c r="H32"/>
  <c r="H200"/>
  <c r="I63" i="1"/>
  <c r="N23" i="7"/>
  <c r="P23"/>
  <c r="Q282" i="1"/>
  <c r="P41" i="7" s="1"/>
  <c r="M29"/>
  <c r="N410" i="11"/>
  <c r="H416"/>
  <c r="F417"/>
  <c r="F201"/>
  <c r="H201" s="1"/>
  <c r="P201" s="1"/>
  <c r="O148"/>
  <c r="F153"/>
  <c r="H153" s="1"/>
  <c r="P153" s="1"/>
  <c r="F33"/>
  <c r="E34" s="1"/>
  <c r="F34" s="1"/>
  <c r="H34" s="1"/>
  <c r="H20"/>
  <c r="H525"/>
  <c r="P525" s="1"/>
  <c r="E526"/>
  <c r="F526" s="1"/>
  <c r="H526" s="1"/>
  <c r="H165"/>
  <c r="P165" s="1"/>
  <c r="E166"/>
  <c r="F166" s="1"/>
  <c r="H166" s="1"/>
  <c r="E118"/>
  <c r="F118" s="1"/>
  <c r="H118" s="1"/>
  <c r="H117"/>
  <c r="P117" s="1"/>
  <c r="E406"/>
  <c r="F406" s="1"/>
  <c r="H406" s="1"/>
  <c r="H405"/>
  <c r="P405" s="1"/>
  <c r="E238"/>
  <c r="F238" s="1"/>
  <c r="H238" s="1"/>
  <c r="H237"/>
  <c r="P237" s="1"/>
  <c r="K58" i="1"/>
  <c r="N58" s="1"/>
  <c r="E58" i="11" l="1"/>
  <c r="F58" s="1"/>
  <c r="H58" s="1"/>
  <c r="P58" s="1"/>
  <c r="H537"/>
  <c r="P537" s="1"/>
  <c r="H369"/>
  <c r="P369" s="1"/>
  <c r="H381"/>
  <c r="P381" s="1"/>
  <c r="K505" i="1"/>
  <c r="J64" i="7"/>
  <c r="J73" s="1"/>
  <c r="H64"/>
  <c r="H73" s="1"/>
  <c r="I505" i="1"/>
  <c r="O64" i="7"/>
  <c r="O73" s="1"/>
  <c r="P73" s="1"/>
  <c r="Q480" i="1"/>
  <c r="P64" i="7" s="1"/>
  <c r="H333" i="11"/>
  <c r="P333" s="1"/>
  <c r="P352" i="1"/>
  <c r="Q413"/>
  <c r="P51" i="7" s="1"/>
  <c r="K413" i="1"/>
  <c r="J51" i="7" s="1"/>
  <c r="I374" i="1"/>
  <c r="H47" i="7" s="1"/>
  <c r="M47" i="14" s="1"/>
  <c r="O33" i="7"/>
  <c r="K352" i="1"/>
  <c r="J359"/>
  <c r="K359" s="1"/>
  <c r="N359"/>
  <c r="O359"/>
  <c r="J358"/>
  <c r="K358" s="1"/>
  <c r="N358"/>
  <c r="O358"/>
  <c r="N43" i="7"/>
  <c r="P252" i="1"/>
  <c r="Q252" s="1"/>
  <c r="P39" i="7" s="1"/>
  <c r="K252" i="1"/>
  <c r="J39" i="7" s="1"/>
  <c r="Q25" i="1"/>
  <c r="P11" i="7" s="1"/>
  <c r="I52" i="1"/>
  <c r="K53" s="1"/>
  <c r="P562" i="11"/>
  <c r="F563"/>
  <c r="H563" s="1"/>
  <c r="P563" s="1"/>
  <c r="P538"/>
  <c r="F539"/>
  <c r="H539" s="1"/>
  <c r="P539" s="1"/>
  <c r="P526"/>
  <c r="F527"/>
  <c r="H527" s="1"/>
  <c r="P527" s="1"/>
  <c r="P502"/>
  <c r="F503"/>
  <c r="H503" s="1"/>
  <c r="P503" s="1"/>
  <c r="P490"/>
  <c r="F491"/>
  <c r="H491" s="1"/>
  <c r="P491" s="1"/>
  <c r="P478"/>
  <c r="F479"/>
  <c r="H479" s="1"/>
  <c r="P479" s="1"/>
  <c r="H285"/>
  <c r="P285" s="1"/>
  <c r="P466"/>
  <c r="F467"/>
  <c r="H467" s="1"/>
  <c r="P467" s="1"/>
  <c r="P442"/>
  <c r="F443"/>
  <c r="H443" s="1"/>
  <c r="P443" s="1"/>
  <c r="P406"/>
  <c r="F407"/>
  <c r="H407" s="1"/>
  <c r="P407" s="1"/>
  <c r="P394"/>
  <c r="F395"/>
  <c r="H395" s="1"/>
  <c r="P395" s="1"/>
  <c r="P382"/>
  <c r="F383"/>
  <c r="H383" s="1"/>
  <c r="P383" s="1"/>
  <c r="P370"/>
  <c r="F371"/>
  <c r="H371" s="1"/>
  <c r="P371" s="1"/>
  <c r="P334"/>
  <c r="F335"/>
  <c r="H335" s="1"/>
  <c r="P335" s="1"/>
  <c r="P286"/>
  <c r="F287"/>
  <c r="H287" s="1"/>
  <c r="P287" s="1"/>
  <c r="H261"/>
  <c r="P262"/>
  <c r="F263"/>
  <c r="H263" s="1"/>
  <c r="P263" s="1"/>
  <c r="P250"/>
  <c r="F251"/>
  <c r="H251" s="1"/>
  <c r="P251" s="1"/>
  <c r="P238"/>
  <c r="F239"/>
  <c r="H239" s="1"/>
  <c r="P239" s="1"/>
  <c r="P190"/>
  <c r="F191"/>
  <c r="H191" s="1"/>
  <c r="P191" s="1"/>
  <c r="P166"/>
  <c r="F167"/>
  <c r="H167" s="1"/>
  <c r="P167" s="1"/>
  <c r="H489"/>
  <c r="P489" s="1"/>
  <c r="J143"/>
  <c r="H69"/>
  <c r="P69" s="1"/>
  <c r="H93"/>
  <c r="P93" s="1"/>
  <c r="E514"/>
  <c r="F514" s="1"/>
  <c r="H514" s="1"/>
  <c r="P130"/>
  <c r="F131"/>
  <c r="H131" s="1"/>
  <c r="P131" s="1"/>
  <c r="H465"/>
  <c r="P465" s="1"/>
  <c r="E298"/>
  <c r="F298" s="1"/>
  <c r="H298" s="1"/>
  <c r="P118"/>
  <c r="F119"/>
  <c r="H119" s="1"/>
  <c r="P119" s="1"/>
  <c r="E454"/>
  <c r="F454" s="1"/>
  <c r="H454" s="1"/>
  <c r="E322"/>
  <c r="F322" s="1"/>
  <c r="H322" s="1"/>
  <c r="E430"/>
  <c r="F430" s="1"/>
  <c r="H430" s="1"/>
  <c r="H357"/>
  <c r="H561"/>
  <c r="P561" s="1"/>
  <c r="E346"/>
  <c r="F346" s="1"/>
  <c r="H346" s="1"/>
  <c r="H45"/>
  <c r="P45" s="1"/>
  <c r="F47"/>
  <c r="H47" s="1"/>
  <c r="P47" s="1"/>
  <c r="E310"/>
  <c r="F310" s="1"/>
  <c r="H310" s="1"/>
  <c r="P94"/>
  <c r="F95"/>
  <c r="H95" s="1"/>
  <c r="P95" s="1"/>
  <c r="E550"/>
  <c r="F550" s="1"/>
  <c r="H550" s="1"/>
  <c r="H81"/>
  <c r="P81" s="1"/>
  <c r="H249"/>
  <c r="P249" s="1"/>
  <c r="P82"/>
  <c r="F83"/>
  <c r="H83" s="1"/>
  <c r="P83" s="1"/>
  <c r="H501"/>
  <c r="P501" s="1"/>
  <c r="P70"/>
  <c r="F71"/>
  <c r="H71" s="1"/>
  <c r="P71" s="1"/>
  <c r="P34"/>
  <c r="F35"/>
  <c r="H35" s="1"/>
  <c r="P35" s="1"/>
  <c r="H189"/>
  <c r="P189" s="1"/>
  <c r="N564"/>
  <c r="N37" i="1" s="1"/>
  <c r="N44" s="1"/>
  <c r="E274" i="11"/>
  <c r="F274" s="1"/>
  <c r="H274" s="1"/>
  <c r="H105"/>
  <c r="P105" s="1"/>
  <c r="H477"/>
  <c r="P477" s="1"/>
  <c r="E214"/>
  <c r="F214" s="1"/>
  <c r="H214" s="1"/>
  <c r="H21"/>
  <c r="P21" s="1"/>
  <c r="E226"/>
  <c r="F226" s="1"/>
  <c r="H226" s="1"/>
  <c r="H393"/>
  <c r="O104" i="1"/>
  <c r="P106" i="11"/>
  <c r="Q430" i="1"/>
  <c r="P53" i="7" s="1"/>
  <c r="E178" i="11"/>
  <c r="F178" s="1"/>
  <c r="H178" s="1"/>
  <c r="E202"/>
  <c r="F202" s="1"/>
  <c r="H202" s="1"/>
  <c r="E154"/>
  <c r="F154" s="1"/>
  <c r="H154" s="1"/>
  <c r="P141"/>
  <c r="H22"/>
  <c r="H33"/>
  <c r="P33" s="1"/>
  <c r="O564"/>
  <c r="O37" i="1" s="1"/>
  <c r="P33" i="7"/>
  <c r="G65" i="1"/>
  <c r="I65" s="1"/>
  <c r="G64"/>
  <c r="I64" s="1"/>
  <c r="E418" i="11"/>
  <c r="F418" s="1"/>
  <c r="H418" s="1"/>
  <c r="H417"/>
  <c r="P417" s="1"/>
  <c r="P513"/>
  <c r="O58" i="1"/>
  <c r="P58" s="1"/>
  <c r="F59" i="11" l="1"/>
  <c r="H59" s="1"/>
  <c r="P59" s="1"/>
  <c r="K64" i="7"/>
  <c r="K68"/>
  <c r="K66"/>
  <c r="K70"/>
  <c r="N47" i="14"/>
  <c r="O47"/>
  <c r="O374" i="1"/>
  <c r="N47" i="7" s="1"/>
  <c r="J374" i="1"/>
  <c r="I47" i="7" s="1"/>
  <c r="K374" i="1"/>
  <c r="J47" i="7" s="1"/>
  <c r="P358" i="1"/>
  <c r="P359"/>
  <c r="O39" i="7"/>
  <c r="O44" i="1"/>
  <c r="N53"/>
  <c r="J539" i="11"/>
  <c r="J563"/>
  <c r="J527"/>
  <c r="P550"/>
  <c r="F551"/>
  <c r="H551" s="1"/>
  <c r="P551" s="1"/>
  <c r="P514"/>
  <c r="F515"/>
  <c r="H515" s="1"/>
  <c r="P515" s="1"/>
  <c r="J503"/>
  <c r="J479"/>
  <c r="J491"/>
  <c r="J443"/>
  <c r="J407"/>
  <c r="J467"/>
  <c r="P454"/>
  <c r="F455"/>
  <c r="H455" s="1"/>
  <c r="P455" s="1"/>
  <c r="P430"/>
  <c r="F431"/>
  <c r="H431" s="1"/>
  <c r="P431" s="1"/>
  <c r="P418"/>
  <c r="F419"/>
  <c r="H419" s="1"/>
  <c r="P419" s="1"/>
  <c r="J383"/>
  <c r="P393"/>
  <c r="J395"/>
  <c r="J335"/>
  <c r="J287"/>
  <c r="J371"/>
  <c r="P357"/>
  <c r="P346"/>
  <c r="F347"/>
  <c r="H347" s="1"/>
  <c r="P322"/>
  <c r="F323"/>
  <c r="H323" s="1"/>
  <c r="P323" s="1"/>
  <c r="P310"/>
  <c r="F311"/>
  <c r="H311" s="1"/>
  <c r="P311" s="1"/>
  <c r="P261"/>
  <c r="J263"/>
  <c r="P298"/>
  <c r="F299"/>
  <c r="H299" s="1"/>
  <c r="P299" s="1"/>
  <c r="P274"/>
  <c r="F275"/>
  <c r="H275" s="1"/>
  <c r="P275" s="1"/>
  <c r="J251"/>
  <c r="J239"/>
  <c r="P226"/>
  <c r="F227"/>
  <c r="H227" s="1"/>
  <c r="P227" s="1"/>
  <c r="P214"/>
  <c r="F215"/>
  <c r="H215" s="1"/>
  <c r="P215" s="1"/>
  <c r="P202"/>
  <c r="F203"/>
  <c r="H203" s="1"/>
  <c r="P203" s="1"/>
  <c r="J191"/>
  <c r="P178"/>
  <c r="F179"/>
  <c r="H179" s="1"/>
  <c r="P179" s="1"/>
  <c r="J167"/>
  <c r="J131"/>
  <c r="P154"/>
  <c r="F155"/>
  <c r="H155" s="1"/>
  <c r="P155" s="1"/>
  <c r="J47"/>
  <c r="J107"/>
  <c r="J119"/>
  <c r="J95"/>
  <c r="J71"/>
  <c r="J83"/>
  <c r="P22"/>
  <c r="F23"/>
  <c r="H23" s="1"/>
  <c r="J35"/>
  <c r="N374" i="1"/>
  <c r="M47" i="7" s="1"/>
  <c r="G66" i="1"/>
  <c r="I66" s="1"/>
  <c r="K66" s="1"/>
  <c r="O66" s="1"/>
  <c r="M15" i="7"/>
  <c r="J59" i="11" l="1"/>
  <c r="P374" i="1"/>
  <c r="O47" i="7" s="1"/>
  <c r="N15"/>
  <c r="N95" i="1"/>
  <c r="I95"/>
  <c r="H17" i="7" s="1"/>
  <c r="M17" i="14" s="1"/>
  <c r="O53" i="1"/>
  <c r="O95" s="1"/>
  <c r="N17" i="7" s="1"/>
  <c r="K95" i="1"/>
  <c r="G98" s="1"/>
  <c r="I98" s="1"/>
  <c r="J551" i="11"/>
  <c r="J515"/>
  <c r="J455"/>
  <c r="J419"/>
  <c r="J431"/>
  <c r="J323"/>
  <c r="P347"/>
  <c r="J347"/>
  <c r="J311"/>
  <c r="J299"/>
  <c r="J275"/>
  <c r="J227"/>
  <c r="J215"/>
  <c r="J203"/>
  <c r="J155"/>
  <c r="J179"/>
  <c r="P23"/>
  <c r="J23"/>
  <c r="I28" i="1"/>
  <c r="N17" i="14" l="1"/>
  <c r="O17"/>
  <c r="Q374" i="1"/>
  <c r="P47" i="7" s="1"/>
  <c r="P53" i="1"/>
  <c r="P95" s="1"/>
  <c r="O17" i="7" s="1"/>
  <c r="N28" i="1"/>
  <c r="N32" s="1"/>
  <c r="I32"/>
  <c r="H13" i="7" s="1"/>
  <c r="M13" i="14" s="1"/>
  <c r="M17" i="7"/>
  <c r="K98" i="1"/>
  <c r="K28"/>
  <c r="K32" s="1"/>
  <c r="P28"/>
  <c r="P32" s="1"/>
  <c r="O28"/>
  <c r="O32" s="1"/>
  <c r="J17" i="7"/>
  <c r="N98" i="1"/>
  <c r="H358" i="11"/>
  <c r="N13" i="14" l="1"/>
  <c r="O13"/>
  <c r="Q95" i="1"/>
  <c r="P17" i="7" s="1"/>
  <c r="Q32" i="1"/>
  <c r="O98"/>
  <c r="N13" i="7"/>
  <c r="O13"/>
  <c r="J13"/>
  <c r="P358" i="11"/>
  <c r="F359"/>
  <c r="H359" s="1"/>
  <c r="P359" s="1"/>
  <c r="J359" l="1"/>
  <c r="J564" s="1"/>
  <c r="P13" i="7"/>
  <c r="M13"/>
  <c r="P564" i="11"/>
  <c r="Q564" s="1"/>
  <c r="H564"/>
  <c r="I37" i="1" s="1"/>
  <c r="I44" s="1"/>
  <c r="P37" l="1"/>
  <c r="P44" s="1"/>
  <c r="Q44" s="1"/>
  <c r="G100" l="1"/>
  <c r="I100" s="1"/>
  <c r="I108" s="1"/>
  <c r="P15" i="7"/>
  <c r="O15"/>
  <c r="H15" l="1"/>
  <c r="M15" i="14" s="1"/>
  <c r="K44" i="1"/>
  <c r="J15" i="7" s="1"/>
  <c r="H19"/>
  <c r="M19" i="14" s="1"/>
  <c r="O100" i="1"/>
  <c r="K100"/>
  <c r="K108" s="1"/>
  <c r="N100"/>
  <c r="I434"/>
  <c r="N19" i="14" l="1"/>
  <c r="O19"/>
  <c r="N15"/>
  <c r="O15"/>
  <c r="N108" i="1"/>
  <c r="O108"/>
  <c r="N19" i="7" s="1"/>
  <c r="J19"/>
  <c r="P100" i="1"/>
  <c r="J434"/>
  <c r="J440" s="1"/>
  <c r="I55" i="7" s="1"/>
  <c r="I59" s="1"/>
  <c r="I79" s="1"/>
  <c r="I440" i="1"/>
  <c r="J463" s="1"/>
  <c r="O434"/>
  <c r="O440" s="1"/>
  <c r="N55" i="7" s="1"/>
  <c r="N434" i="1"/>
  <c r="N440" s="1"/>
  <c r="J467" l="1"/>
  <c r="J468"/>
  <c r="J453"/>
  <c r="J509" s="1"/>
  <c r="N59" i="7"/>
  <c r="N79" s="1"/>
  <c r="P108" i="1"/>
  <c r="O19" i="7" s="1"/>
  <c r="O59" s="1"/>
  <c r="O79" s="1"/>
  <c r="M19"/>
  <c r="J464" i="1"/>
  <c r="J469"/>
  <c r="K434"/>
  <c r="K440" s="1"/>
  <c r="J55" i="7" s="1"/>
  <c r="J59" s="1"/>
  <c r="J79" s="1"/>
  <c r="Q440" i="1"/>
  <c r="P55" i="7" s="1"/>
  <c r="M55"/>
  <c r="H55"/>
  <c r="M55" i="14" s="1"/>
  <c r="M59" s="1"/>
  <c r="N59" s="1"/>
  <c r="N55" l="1"/>
  <c r="O55"/>
  <c r="O59" s="1"/>
  <c r="K453" i="1"/>
  <c r="K456" s="1"/>
  <c r="M59" i="7"/>
  <c r="Q108" i="1"/>
  <c r="P19" i="7" s="1"/>
  <c r="H59"/>
  <c r="I453" i="1" s="1"/>
  <c r="H79" i="7" l="1"/>
  <c r="P59"/>
  <c r="M79"/>
  <c r="P79" s="1"/>
  <c r="K455" i="1"/>
  <c r="K509"/>
  <c r="H63" i="14"/>
  <c r="H65" s="1"/>
  <c r="K9" i="7"/>
  <c r="K55"/>
  <c r="K11"/>
  <c r="K41"/>
  <c r="K23"/>
  <c r="K43"/>
  <c r="K21"/>
  <c r="K19"/>
  <c r="K33"/>
  <c r="K53"/>
  <c r="K13"/>
  <c r="K51"/>
  <c r="K31"/>
  <c r="K49"/>
  <c r="K35"/>
  <c r="K27"/>
  <c r="K29"/>
  <c r="K39"/>
  <c r="K57"/>
  <c r="K15"/>
  <c r="K45"/>
  <c r="K17"/>
  <c r="K47"/>
  <c r="I509" i="1"/>
  <c r="K37" i="7"/>
  <c r="K25"/>
  <c r="K73" l="1"/>
  <c r="K457" i="1"/>
  <c r="K59" i="7"/>
</calcChain>
</file>

<file path=xl/sharedStrings.xml><?xml version="1.0" encoding="utf-8"?>
<sst xmlns="http://schemas.openxmlformats.org/spreadsheetml/2006/main" count="2161" uniqueCount="773">
  <si>
    <t>Preproducción</t>
  </si>
  <si>
    <t>Sábados</t>
  </si>
  <si>
    <t>Días Rodaje</t>
  </si>
  <si>
    <t>FINANCIERO POR ETAPAS (sin IVA)</t>
  </si>
  <si>
    <t>Rodaje</t>
  </si>
  <si>
    <t>Domingos</t>
  </si>
  <si>
    <t>Posproducción</t>
  </si>
  <si>
    <t>HsEx. (x sem)</t>
  </si>
  <si>
    <t>RUBROS</t>
  </si>
  <si>
    <t>TOTAL</t>
  </si>
  <si>
    <t>IVA</t>
  </si>
  <si>
    <t>Total c/IVA</t>
  </si>
  <si>
    <t>PRE</t>
  </si>
  <si>
    <t>RODAJE</t>
  </si>
  <si>
    <t>POS</t>
  </si>
  <si>
    <t>TOTALES</t>
  </si>
  <si>
    <t>DESGLOSE POR RUBROS</t>
  </si>
  <si>
    <t>LIBRO / ARGUMENTO / GUION</t>
  </si>
  <si>
    <t>Unidad</t>
  </si>
  <si>
    <t>Importe</t>
  </si>
  <si>
    <t>Cantidad</t>
  </si>
  <si>
    <t xml:space="preserve">Total </t>
  </si>
  <si>
    <t>STORY BOARD</t>
  </si>
  <si>
    <t>COPISTERIA</t>
  </si>
  <si>
    <t xml:space="preserve">Copias </t>
  </si>
  <si>
    <t>&lt;&lt;&lt;&lt; Estos numeros suman para TOTAL comidas x día -  catering - RUBRO 22</t>
  </si>
  <si>
    <t>TOTAL RUBRO 1</t>
  </si>
  <si>
    <t>DIRECCION</t>
  </si>
  <si>
    <t>TOTAL RUBRO 2</t>
  </si>
  <si>
    <t>PRODUCCION</t>
  </si>
  <si>
    <t xml:space="preserve">Mes </t>
  </si>
  <si>
    <t>TOTAL RUBRO 3</t>
  </si>
  <si>
    <t>JEFE DE PRODUCCION</t>
  </si>
  <si>
    <t>Sem.</t>
  </si>
  <si>
    <t>Hs Extras x sem.</t>
  </si>
  <si>
    <t xml:space="preserve">Días </t>
  </si>
  <si>
    <t>Semanas trabajadas</t>
  </si>
  <si>
    <t>Remun. Bruta</t>
  </si>
  <si>
    <t>SAC</t>
  </si>
  <si>
    <r>
      <rPr>
        <sz val="10"/>
        <rFont val="Arial"/>
        <family val="2"/>
      </rPr>
      <t>VAC</t>
    </r>
    <r>
      <rPr>
        <sz val="9"/>
        <rFont val="Arial"/>
        <family val="2"/>
      </rPr>
      <t xml:space="preserve"> (Total Bruto / cantidad de semanas / 5) x (días corridos de contrato / 20)</t>
    </r>
  </si>
  <si>
    <t>AYUDANTE de PRODUCCION</t>
  </si>
  <si>
    <t>JEFE DE LOCACIONES</t>
  </si>
  <si>
    <t>ASISTENTE DE LOCACIONES</t>
  </si>
  <si>
    <t>ASISTENTE DE DIRECCION</t>
  </si>
  <si>
    <t>PRIMERO DE DIRECCION / CONTINUISTA</t>
  </si>
  <si>
    <t>DIRECTOR DE CASTING</t>
  </si>
  <si>
    <t>ASISTENTE DE CASTING</t>
  </si>
  <si>
    <t>DIRECTOR DE FOTOGRAFIA</t>
  </si>
  <si>
    <t>TECNICO HD</t>
  </si>
  <si>
    <t>Preproducción (Chequeo y Pruebas)</t>
  </si>
  <si>
    <t>Posproducción (Devoluciones)</t>
  </si>
  <si>
    <t>CAMAROGRAFO</t>
  </si>
  <si>
    <t>PRIMER AYUDANTE DE CAMARA</t>
  </si>
  <si>
    <t>SEGUNDO AYUDANTE DE CAMARA</t>
  </si>
  <si>
    <t>KEY GRIP</t>
  </si>
  <si>
    <t>GRIP</t>
  </si>
  <si>
    <t>ASISTENTE DE GRIP</t>
  </si>
  <si>
    <t>VIDEO ASSIST</t>
  </si>
  <si>
    <t>FOTOGRAFO DE FILMACION</t>
  </si>
  <si>
    <t>GAFFER</t>
  </si>
  <si>
    <t>JEFE REFLECTORISTA</t>
  </si>
  <si>
    <t>CAPATAZ REFLECTORISTA</t>
  </si>
  <si>
    <t>REFLECTORISTA</t>
  </si>
  <si>
    <t>OPERADOR DE GENERADOR</t>
  </si>
  <si>
    <t>DIRECTOR DE ARTE</t>
  </si>
  <si>
    <t>Días</t>
  </si>
  <si>
    <t>ESCENOGRAFO</t>
  </si>
  <si>
    <t>AMBIENTADOR/A</t>
  </si>
  <si>
    <t>VESTUARISTA</t>
  </si>
  <si>
    <t>AYUDANTE DE VESTUARIO</t>
  </si>
  <si>
    <t>MODISTA</t>
  </si>
  <si>
    <t>UTILERO / CARPINTERO</t>
  </si>
  <si>
    <t>ASISTENTE DE UTILERO / CARPINTERO</t>
  </si>
  <si>
    <t>REALIZADOR</t>
  </si>
  <si>
    <t>JEFE MAQUILLAJE</t>
  </si>
  <si>
    <t>PEINADOR</t>
  </si>
  <si>
    <t>AYUDANTE DE MAQUILLAJE / PEINADO</t>
  </si>
  <si>
    <r>
      <rPr>
        <b/>
        <sz val="10"/>
        <rFont val="Arial"/>
        <family val="2"/>
      </rPr>
      <t>DIRECTOR DE SONIDO (POSPRODUCCION)</t>
    </r>
    <r>
      <rPr>
        <b/>
        <sz val="10"/>
        <color indexed="10"/>
        <rFont val="Arial"/>
        <family val="2"/>
      </rPr>
      <t xml:space="preserve"> </t>
    </r>
  </si>
  <si>
    <t>COMPAGINADOR</t>
  </si>
  <si>
    <t>AYUDANTE DE COMPAGINACION</t>
  </si>
  <si>
    <t>TOTAL RUBRO 4</t>
  </si>
  <si>
    <t>ELENCO PRINCIPAL</t>
  </si>
  <si>
    <t>Semanas Contrato AAA</t>
  </si>
  <si>
    <t>ELENCO SECUNDARIO</t>
  </si>
  <si>
    <t>Porcentual por Pruebas Vestuario y Ensayos</t>
  </si>
  <si>
    <t>Porcentual por Hs.Extras</t>
  </si>
  <si>
    <t>Bolo CALIFICADO</t>
  </si>
  <si>
    <t xml:space="preserve">Extras </t>
  </si>
  <si>
    <t>Hs. Extras Diurnas (3hs x Extra)</t>
  </si>
  <si>
    <t xml:space="preserve">Hs. Extras </t>
  </si>
  <si>
    <t>PLANILLERO</t>
  </si>
  <si>
    <t>Hs. Extras Diurnas (3hs x día)</t>
  </si>
  <si>
    <t>OTROS - DOBLES DE ACCION / LUCES</t>
  </si>
  <si>
    <t>BAILARINES</t>
  </si>
  <si>
    <t>Músicos/ Orquesta</t>
  </si>
  <si>
    <t>DOBLE DE LUCES - Actores principales</t>
  </si>
  <si>
    <t>DOBLES DE ACCION</t>
  </si>
  <si>
    <t xml:space="preserve">Actores </t>
  </si>
  <si>
    <t>TOTAL RUBRO 5</t>
  </si>
  <si>
    <t>CARGAS SOCIALES</t>
  </si>
  <si>
    <t>TOTAL RUBRO 6</t>
  </si>
  <si>
    <t>VESTUARIO</t>
  </si>
  <si>
    <t xml:space="preserve">Cambios </t>
  </si>
  <si>
    <t>ACCESORIOS</t>
  </si>
  <si>
    <t>Por la película</t>
  </si>
  <si>
    <t>ALQUILERES</t>
  </si>
  <si>
    <t>MANTENIMIENTO Y LIMPIEZA</t>
  </si>
  <si>
    <t>LAVANDERIA, TINTORERIA, ARREGLOS, etc.</t>
  </si>
  <si>
    <t>ALQUILER TALLER VESTUARIO</t>
  </si>
  <si>
    <t>Meses</t>
  </si>
  <si>
    <t>TOTAL RUBRO 7</t>
  </si>
  <si>
    <t>MAQUILLAJE</t>
  </si>
  <si>
    <t>COMPRA MATERIALES</t>
  </si>
  <si>
    <t>TOTAL RUBRO 8</t>
  </si>
  <si>
    <t>UTILERIA</t>
  </si>
  <si>
    <t>TOTAL RUBRO 9</t>
  </si>
  <si>
    <t>ESCENOGRAFIA</t>
  </si>
  <si>
    <t>TOTAL RUBRO 10</t>
  </si>
  <si>
    <t>LOCACIONES</t>
  </si>
  <si>
    <t>Autos personajes Principales</t>
  </si>
  <si>
    <t>Autos Personajes Secundarios</t>
  </si>
  <si>
    <t>Autos ambiente, Cruces, etc.</t>
  </si>
  <si>
    <t>OTROS</t>
  </si>
  <si>
    <t>TOTAL RUBRO 11</t>
  </si>
  <si>
    <t>TOTAL RUBRO 12</t>
  </si>
  <si>
    <t>MUSICA</t>
  </si>
  <si>
    <t xml:space="preserve">Temas </t>
  </si>
  <si>
    <t>SALA DE GRABACION / PRODUCCION MUSICAL</t>
  </si>
  <si>
    <t>TOTAL RUBRO 13</t>
  </si>
  <si>
    <t>TOTAL RUBRO 14</t>
  </si>
  <si>
    <t>TOTAL RUBRO 15</t>
  </si>
  <si>
    <t>EDICION</t>
  </si>
  <si>
    <t>TOTAL RUBRO 16</t>
  </si>
  <si>
    <t xml:space="preserve"> Unidad</t>
  </si>
  <si>
    <t>SUB TOTAL</t>
  </si>
  <si>
    <t>GRABACION</t>
  </si>
  <si>
    <t>TOTAL RUBRO 17</t>
  </si>
  <si>
    <t>EQUIPOS DE COMUNICACIÓN (Handies)</t>
  </si>
  <si>
    <t>COMPRAS VARIAS - para CAMARA, LUCES, GRIP Y SONIDO</t>
  </si>
  <si>
    <t>TOTAL RUBRO 18</t>
  </si>
  <si>
    <t>TOTAL RUBRO 19</t>
  </si>
  <si>
    <t>MOVILIDAD</t>
  </si>
  <si>
    <t>VAN Scouting y traslados X 2 - 100 km. Libres</t>
  </si>
  <si>
    <t>MOTOR HOME VESTUARIO/ Maquillaje</t>
  </si>
  <si>
    <t>PASAJES AL INTERIOR</t>
  </si>
  <si>
    <t>Aereos</t>
  </si>
  <si>
    <t>Cant.</t>
  </si>
  <si>
    <t>Micro</t>
  </si>
  <si>
    <t>PASAJES AL EXTERIOR</t>
  </si>
  <si>
    <t>Gastos transporte aeropuertos</t>
  </si>
  <si>
    <t>Tickets aéreos</t>
  </si>
  <si>
    <t>FLETES DE EQUIPOS Y UTILERA (Mínimo 3 hs por jornada)</t>
  </si>
  <si>
    <t>Transporte vehículos de acción</t>
  </si>
  <si>
    <t>Transporte equipos especiales (gruas, construcciones luces, etc)</t>
  </si>
  <si>
    <t>TOTAL RUBRO 20</t>
  </si>
  <si>
    <t>FUERZA MOTRIZ</t>
  </si>
  <si>
    <t>ALQUILER GENERADOR</t>
  </si>
  <si>
    <t>COMBUSTIBLE GENERADOR</t>
  </si>
  <si>
    <t>TOTAL RUBRO 21</t>
  </si>
  <si>
    <t>COMIDAS y ALOJAMIENTOS</t>
  </si>
  <si>
    <t>Comidas x día</t>
  </si>
  <si>
    <t>Días rodaje</t>
  </si>
  <si>
    <t xml:space="preserve">PREPRODUCCION </t>
  </si>
  <si>
    <t>Pnal. Técnico / Realizadores</t>
  </si>
  <si>
    <t>Otros</t>
  </si>
  <si>
    <t>Pnal. Técnico</t>
  </si>
  <si>
    <t>Personal Artístico</t>
  </si>
  <si>
    <t>POSPRODUCCION</t>
  </si>
  <si>
    <t xml:space="preserve">Sem. </t>
  </si>
  <si>
    <t>TOTAL RUBRO 22</t>
  </si>
  <si>
    <t xml:space="preserve">ALQUILER DE OFICINAS </t>
  </si>
  <si>
    <t>Mes</t>
  </si>
  <si>
    <t>HONORARIOS LEGALES</t>
  </si>
  <si>
    <t>HONORARIOS PROFESIONAL CONTABLE</t>
  </si>
  <si>
    <t>TOTAL RUBRO 23</t>
  </si>
  <si>
    <t>SEGUROS</t>
  </si>
  <si>
    <t>TOTAL RUBRO 24</t>
  </si>
  <si>
    <t>TOTAL RUBRO 25</t>
  </si>
  <si>
    <r>
      <rPr>
        <b/>
        <sz val="10"/>
        <rFont val="Arial"/>
        <family val="2"/>
      </rPr>
      <t xml:space="preserve">EDITORES DE DIALOGOS / AMBIENTES / EFECTOS </t>
    </r>
  </si>
  <si>
    <t>JEFE/A DE PRODUCCIÓN</t>
  </si>
  <si>
    <t>ASISTENTE DE PRODUCCIÓN</t>
  </si>
  <si>
    <t>AYUDANTE DE PRODUCCIÓN</t>
  </si>
  <si>
    <t>JEFE/A DE LOCACIONES</t>
  </si>
  <si>
    <t>ASISTENTE DE DIRECCIÓN</t>
  </si>
  <si>
    <t>CONTINUISTA / SCRIPT</t>
  </si>
  <si>
    <t>1º AYUDANTE DE DIRECCIÓN</t>
  </si>
  <si>
    <t>2º AYUDANTE DE DIRECCIÓN</t>
  </si>
  <si>
    <t>DIRECCIÓN DE CASTING</t>
  </si>
  <si>
    <t>DIRECCIÓN DE FOTOGRAFÍA</t>
  </si>
  <si>
    <t>TÉCNICO/A HD</t>
  </si>
  <si>
    <t>CAMARÓGRAFO/A</t>
  </si>
  <si>
    <t>1º AYUDANTE DE CÁMARA</t>
  </si>
  <si>
    <t>2º AYUDANTE DE CÁMARA</t>
  </si>
  <si>
    <t>FOTÓGRAFO/A DE FILMACIÓN</t>
  </si>
  <si>
    <t>JEFE/A REFLECTORISTA</t>
  </si>
  <si>
    <t>OPERADOR/A DE GENERADOR</t>
  </si>
  <si>
    <t>DIRECCIÓN DE ARTE</t>
  </si>
  <si>
    <t>ESCENÓGRAFO/A</t>
  </si>
  <si>
    <t>AYUDANTE DE ESCENOGRAFÍA</t>
  </si>
  <si>
    <t>MODISTO/A</t>
  </si>
  <si>
    <t>UTILERO/A - CARPINTERO/A</t>
  </si>
  <si>
    <t>ASISTENTE DE UTILERO</t>
  </si>
  <si>
    <t>REALIZADOR/A</t>
  </si>
  <si>
    <t>JEFE/A DE MAQUILLAJE</t>
  </si>
  <si>
    <t>PEINADOR/A</t>
  </si>
  <si>
    <t>AYTE. DE MAQUILLAJE / PEINADO</t>
  </si>
  <si>
    <t>DIRECCIÓN DE SONIDO</t>
  </si>
  <si>
    <t>AYUDANTE DE SONIDO</t>
  </si>
  <si>
    <t>DIRECCIÓN DE SONIDO POST / MEZCLADOR/A</t>
  </si>
  <si>
    <t>EDITOR/A DE DIALOGOS</t>
  </si>
  <si>
    <t>EDITOR/A DE AMBIENTES Y EFECTOS</t>
  </si>
  <si>
    <t>COMPAGINADOR/A</t>
  </si>
  <si>
    <t>AYUDANTE DE COMPAGINACIÓN</t>
  </si>
  <si>
    <t>CORTADOR/A DE NEGATIVOS</t>
  </si>
  <si>
    <t>APRENDIZ</t>
  </si>
  <si>
    <t>Bolo</t>
  </si>
  <si>
    <t>Bolo Calificado</t>
  </si>
  <si>
    <t>Planillero</t>
  </si>
  <si>
    <t>Bolo Especial</t>
  </si>
  <si>
    <t>Bolo Menor de hasta 15 años</t>
  </si>
  <si>
    <t>%</t>
  </si>
  <si>
    <t>Bolo COMUN</t>
  </si>
  <si>
    <t>CLASIFICACIÓN</t>
  </si>
  <si>
    <t>VALOR A</t>
  </si>
  <si>
    <t>VALOR B</t>
  </si>
  <si>
    <t>VALOR C</t>
  </si>
  <si>
    <t>VALOR P</t>
  </si>
  <si>
    <t>* Las que excedan 60 minutos de duración.</t>
  </si>
  <si>
    <t xml:space="preserve">BOLOS MAYORES y MENORES </t>
  </si>
  <si>
    <t>TRADUCCIONES</t>
  </si>
  <si>
    <t>https://argentores.org.ar/cine/nuevos-minimo-contrato/</t>
  </si>
  <si>
    <r>
      <t>VAC</t>
    </r>
    <r>
      <rPr>
        <sz val="9"/>
        <rFont val="Arial"/>
        <family val="2"/>
      </rPr>
      <t xml:space="preserve"> (Total Bruto / cantidad de semanas / 5) x (días corridos de contrato / 20)</t>
    </r>
  </si>
  <si>
    <t>SONIDISTA (en RODAJE)</t>
  </si>
  <si>
    <t xml:space="preserve">SUBTOTAL LOCACIONES </t>
  </si>
  <si>
    <t>Global</t>
  </si>
  <si>
    <t>Hs. Ex. (x sem)</t>
  </si>
  <si>
    <t xml:space="preserve">OTROS </t>
  </si>
  <si>
    <t>Hs Extra al 50% Bolo Menor (por hora)</t>
  </si>
  <si>
    <t>Hs Extra al 100% Bolo Menor (por hora)</t>
  </si>
  <si>
    <t>Hs. Extra al 50% Bolo Mayor (por hora)</t>
  </si>
  <si>
    <t>Hs. Extra al 100% Bolo Mayor (por hora)</t>
  </si>
  <si>
    <t>Bolo Menor dia de ensayo/Pr.camara y maquillaje</t>
  </si>
  <si>
    <t>Bolo Mayor dia de ensayo/Pr.camara y maquillaje</t>
  </si>
  <si>
    <t>Prueba de ropa bolo menor</t>
  </si>
  <si>
    <t>Prueba de ropa contrato y bolo mayor</t>
  </si>
  <si>
    <t>Bolo Actor especialista/bailarin profesional</t>
  </si>
  <si>
    <t>Bolo Menor de doblaje por dia</t>
  </si>
  <si>
    <t>Bolo Mayor de doblaje por dia</t>
  </si>
  <si>
    <t>Bolo Menor de filmacion por dia</t>
  </si>
  <si>
    <t>Bolo Mayor de filmacion por dia</t>
  </si>
  <si>
    <t>Hs- Extra al 50% s/contratos (por hora)</t>
  </si>
  <si>
    <t>Hs- Extra al 100% s/contratos (por hora)</t>
  </si>
  <si>
    <t>Rol de 3ra Categoria (Contrato h/8 sem)</t>
  </si>
  <si>
    <t>Rol de 2da Categoria (Contrato h/8 sem)</t>
  </si>
  <si>
    <t>Rol de 1ra Categoria (Contrato h/ 8 sem)</t>
  </si>
  <si>
    <t>Bolo del Menor un 33% por acompañante</t>
  </si>
  <si>
    <t>Bolo Bebe un 33% por acompañante</t>
  </si>
  <si>
    <t>Hs. Extras Diurnas (2hs x Extra)</t>
  </si>
  <si>
    <t>Preproducción (Chequeo y Preiluminacion)</t>
  </si>
  <si>
    <t>Preproducción(Chequeo y Preiluminacion)</t>
  </si>
  <si>
    <t>Preproducción(Scouting y Preiluminacion)</t>
  </si>
  <si>
    <t>Preproducción (Chequeo,Scouting y Preiluminacion)</t>
  </si>
  <si>
    <t>Preproducción (Chequeo, Scouting y Preiluminacion)</t>
  </si>
  <si>
    <t>Preproducción (Scouting y Armado de decorado)</t>
  </si>
  <si>
    <t xml:space="preserve">Preproducción </t>
  </si>
  <si>
    <t>Bolos Mayores (20)</t>
  </si>
  <si>
    <t>Bolos menores (10)</t>
  </si>
  <si>
    <t xml:space="preserve">REALIZACIONES </t>
  </si>
  <si>
    <t>Locación  2</t>
  </si>
  <si>
    <t>Locación  3</t>
  </si>
  <si>
    <t>Locación  4</t>
  </si>
  <si>
    <t>Dias</t>
  </si>
  <si>
    <r>
      <t xml:space="preserve">EXTRAS - TOTAL 40 </t>
    </r>
    <r>
      <rPr>
        <i/>
        <sz val="10"/>
        <rFont val="Arial"/>
        <family val="2"/>
      </rPr>
      <t xml:space="preserve"> </t>
    </r>
  </si>
  <si>
    <t>Estudio</t>
  </si>
  <si>
    <t>Exteriores</t>
  </si>
  <si>
    <t>Por la película (120)</t>
  </si>
  <si>
    <t>Por la película (100)</t>
  </si>
  <si>
    <t>Por la película (estimado 20 días citacion de extras)</t>
  </si>
  <si>
    <t>AYUDANTE DE SONIDO (en RODAJE)</t>
  </si>
  <si>
    <t>Agasajos, Invitados, Prensa</t>
  </si>
  <si>
    <t>Alquiler de Carpas /Gazebos Rodaje en Exteriores</t>
  </si>
  <si>
    <t>Locación Secundaria 1</t>
  </si>
  <si>
    <t>Locación Secundaria 2</t>
  </si>
  <si>
    <t>Locación Secundaria 3</t>
  </si>
  <si>
    <t>Otras Locaciones</t>
  </si>
  <si>
    <t>% sobre el total</t>
  </si>
  <si>
    <t>Prueba Vestuario hasta 1 h</t>
  </si>
  <si>
    <t xml:space="preserve">Pedido de Vestuario </t>
  </si>
  <si>
    <t>BASET, Gestor, Formularios, Cortes  de Calle, Estacionamiento, Habilitaciones, Otros</t>
  </si>
  <si>
    <t>UTILERO / CARPINTERO (Refuerzo)</t>
  </si>
  <si>
    <t>1 Protagonista Principal</t>
  </si>
  <si>
    <t>APRENDIZ (x 3)  por Resol. INCAA (en diferentes AREAS)</t>
  </si>
  <si>
    <t xml:space="preserve">EQUIPO TECNICO </t>
  </si>
  <si>
    <t>ELENCO</t>
  </si>
  <si>
    <t xml:space="preserve">UTILES DE OFICINA  </t>
  </si>
  <si>
    <t>Prueba de Vestuario de  1 a 4 horas</t>
  </si>
  <si>
    <t>Prueba de Vestuario de mas de 4 horas</t>
  </si>
  <si>
    <t>Corte de Cabello</t>
  </si>
  <si>
    <t>GUION</t>
  </si>
  <si>
    <t>PROD EJEC</t>
  </si>
  <si>
    <r>
      <t xml:space="preserve">EQUIPO TECNICO </t>
    </r>
    <r>
      <rPr>
        <i/>
        <sz val="11"/>
        <color indexed="17"/>
        <rFont val="Arial"/>
        <family val="2"/>
      </rPr>
      <t xml:space="preserve">(Sobre lista SICA) </t>
    </r>
  </si>
  <si>
    <t>FLETES (Camión Mediano)  - 5 hsx día</t>
  </si>
  <si>
    <t xml:space="preserve">ADMINISTRACION </t>
  </si>
  <si>
    <t xml:space="preserve">Bolos Mayores </t>
  </si>
  <si>
    <t xml:space="preserve"> 2 Secundarios de 2da. Categoría (Mínimo AAA x 8 semanas)</t>
  </si>
  <si>
    <t>Total BAJO LA LINEA</t>
  </si>
  <si>
    <t>Director de puesta en escena (Contrato h/8 sem)</t>
  </si>
  <si>
    <t>Otro Flete</t>
  </si>
  <si>
    <t>15 equipos</t>
  </si>
  <si>
    <t>discos de tránsito</t>
  </si>
  <si>
    <t xml:space="preserve"> (AAA de Enero 2024 proyectado a Sept 2024) - Base Convenio Colectivo de Trabajo de AAA</t>
  </si>
  <si>
    <t>OTROS (alquileres, ambientación, etc)</t>
  </si>
  <si>
    <t>Flat</t>
  </si>
  <si>
    <t>EXTRAS por la película (Calificados, Comunes y Planillero)</t>
  </si>
  <si>
    <t>PERSONAL TECNICO, ARTISTICO, CHOFERES, SEGURIDAD, etc</t>
  </si>
  <si>
    <t xml:space="preserve"> BASE: Lunes a Viernes 8,45 hs + 2.15 hs extras diarias = 11 hs totales (Algunos técnicos tiene mayor cantidad de Hs.Ex. x citaciones diferenciadas)</t>
  </si>
  <si>
    <t xml:space="preserve">AYUDANTE DE VESTUARIO </t>
  </si>
  <si>
    <t>AYUDANTE ESCENOGRAFIA (x 2 en Pre y Rodaje)</t>
  </si>
  <si>
    <t>ASISTENTE DE PRODUCCION (x 2 en Pre y  Rodaje)</t>
  </si>
  <si>
    <t>POST</t>
  </si>
  <si>
    <t>SEGUNDO AYUDANTE DE DIRECCION (2 puestos en Rodaje y Post)</t>
  </si>
  <si>
    <t>8 y 9</t>
  </si>
  <si>
    <t>MOTOR HOME - ACTORES PRINCIPALES</t>
  </si>
  <si>
    <t>COMPRAS INSUMOS VESTUARIO (Percheros, etiquetas, fundas, otros)</t>
  </si>
  <si>
    <t>Protagónicos</t>
  </si>
  <si>
    <t>Secundarios</t>
  </si>
  <si>
    <t>(Todos los TECNICOS afectados a los porocesos de Post de Sonido estan contemplados como Equipo Tecnico SICA)</t>
  </si>
  <si>
    <t>Otros (prensa, pnal. seguros, invitados, etc)</t>
  </si>
  <si>
    <t>#</t>
  </si>
  <si>
    <t>2 Protagónicos de 1ra Categoría (AAA x 8 semanas)</t>
  </si>
  <si>
    <t>Hora Extra 50%</t>
  </si>
  <si>
    <t>Hora Extra 100%</t>
  </si>
  <si>
    <t>https://www.sicacine.org.ar/</t>
  </si>
  <si>
    <t>https://actores.org.ar/</t>
  </si>
  <si>
    <t>https://www.sutep.com.ar/</t>
  </si>
  <si>
    <t>PELÍCULAS CINEMATOGRÁFICAS DE LARGOMETRAJE</t>
  </si>
  <si>
    <t>https://www.sadaic.org.ar/</t>
  </si>
  <si>
    <t>PLAN FINANCIERO POR ETAPAS (sin IVA)</t>
  </si>
  <si>
    <t>Libre Deuda SADEM</t>
  </si>
  <si>
    <t>SALA DE MEZCLAS - MIX FINAL FORMATO 5.1</t>
  </si>
  <si>
    <t>Alquiler Isla x semana</t>
  </si>
  <si>
    <t>TOTAL:</t>
  </si>
  <si>
    <t>x día</t>
  </si>
  <si>
    <t>PAQUETE GRAFICO: Diseñador Graficos, Rodante, Placas, etc.</t>
  </si>
  <si>
    <t>Transferencia a disco duro, Mix Film Formato 5.1, Mix Banda Internacional 5.1 (M+E)</t>
  </si>
  <si>
    <t>Edición y Armado de Foley, de M+E del Film. Diseño Integral Banda Sonora.</t>
  </si>
  <si>
    <t>Duración total de</t>
  </si>
  <si>
    <t>https://sadem.org.ar/tarifas-minimas/</t>
  </si>
  <si>
    <t>Estudio/Locacion</t>
  </si>
  <si>
    <t>Para estimar valores porcentuales sobre los Rubros:</t>
  </si>
  <si>
    <t>Animales</t>
  </si>
  <si>
    <t>COMIDAS EN COMISIONES DIVERSAS:</t>
  </si>
  <si>
    <t>Total BAJO LA LINEA (sin Música)</t>
  </si>
  <si>
    <t>Materiales Varios de Edición</t>
  </si>
  <si>
    <t>SAC S/ VAC</t>
  </si>
  <si>
    <t>actualización a
 MARZO 2025</t>
  </si>
  <si>
    <t>PRESUPUESTO LARGOMETRAJE NACIONAL 
COSTO PROMEDIO  proyectado a Marzo 2026</t>
  </si>
  <si>
    <t xml:space="preserve">SICA - Sueldos Brutos Semanales al 31/12/25
</t>
  </si>
  <si>
    <t>actualización 
a MARZO 2026</t>
  </si>
  <si>
    <t>actualización a 
MARZO 2026</t>
  </si>
  <si>
    <t>Asociacion Argentina de Actores 
Salarios Brutos a Diciembre 2025</t>
  </si>
  <si>
    <t>SUTEP - Brutos Diarios a Diciembre 2025</t>
  </si>
  <si>
    <t>SADAIC - DESDE 1/3/25</t>
  </si>
  <si>
    <t>actualizacion a Marzo 2026</t>
  </si>
  <si>
    <t>Música original incidental largometraje o</t>
  </si>
  <si>
    <t xml:space="preserve"> serie con un leitmotiv $ 7.869.623.-</t>
  </si>
  <si>
    <t>TOTAL Sept 2025</t>
  </si>
  <si>
    <t>EQUIPO TÉCNICO SICA -  proyectado a Marzo 2026</t>
  </si>
  <si>
    <t>SAdeM - CINE (CCT 373/71) - DESDE 1/4/25</t>
  </si>
  <si>
    <r>
      <t>LIBRO ORIGINAL</t>
    </r>
    <r>
      <rPr>
        <i/>
        <sz val="10"/>
        <color indexed="10"/>
        <rFont val="Arial"/>
        <family val="2"/>
      </rPr>
      <t xml:space="preserve"> </t>
    </r>
    <r>
      <rPr>
        <b/>
        <sz val="10"/>
        <rFont val="Arial"/>
        <family val="2"/>
      </rPr>
      <t>- Derecho de Autor</t>
    </r>
  </si>
  <si>
    <r>
      <t xml:space="preserve">GUION Cinematografico </t>
    </r>
    <r>
      <rPr>
        <i/>
        <sz val="10"/>
        <rFont val="Arial"/>
        <family val="2"/>
      </rPr>
      <t xml:space="preserve">(Conforme ARGENTORES, 5% del costo Bajo la Línea sin impuestos) </t>
    </r>
  </si>
  <si>
    <t>Animatics</t>
  </si>
  <si>
    <t>Tasa Argentores</t>
  </si>
  <si>
    <r>
      <t>DIRECTOR/A</t>
    </r>
    <r>
      <rPr>
        <i/>
        <sz val="10"/>
        <rFont val="Arial"/>
        <family val="2"/>
      </rPr>
      <t xml:space="preserve"> (Conforme DAC, 10% del costo bajo la línea sin impuestos) </t>
    </r>
  </si>
  <si>
    <t>Director/a segunda unidad</t>
  </si>
  <si>
    <t>DIRECTOR/A DE PRODUCCIÓN</t>
  </si>
  <si>
    <t>Productor Delegado</t>
  </si>
  <si>
    <t>PERSONAL TECNICO SICA</t>
  </si>
  <si>
    <t>Dietas / Perdiem</t>
  </si>
  <si>
    <t>Stunt</t>
  </si>
  <si>
    <t>Coordinación de Intimidad</t>
  </si>
  <si>
    <t>Coach actoral</t>
  </si>
  <si>
    <t>Sala de Ensayos</t>
  </si>
  <si>
    <t>Otras Cargas Sociales</t>
  </si>
  <si>
    <t>Confección de Vestuario</t>
  </si>
  <si>
    <t xml:space="preserve">COMPRA MATERIALES </t>
  </si>
  <si>
    <t>Varios Consumibles</t>
  </si>
  <si>
    <t>Compras Peinado</t>
  </si>
  <si>
    <t>Alquileres Peinado</t>
  </si>
  <si>
    <t>1.1</t>
  </si>
  <si>
    <t>1.2</t>
  </si>
  <si>
    <t>1.3</t>
  </si>
  <si>
    <t>1.4</t>
  </si>
  <si>
    <t>1.5</t>
  </si>
  <si>
    <t>1.6</t>
  </si>
  <si>
    <t>1.7</t>
  </si>
  <si>
    <t>1.8</t>
  </si>
  <si>
    <t>2.1</t>
  </si>
  <si>
    <t>2.2</t>
  </si>
  <si>
    <t>3.1</t>
  </si>
  <si>
    <t>3.2</t>
  </si>
  <si>
    <t>3.3</t>
  </si>
  <si>
    <t>3.4</t>
  </si>
  <si>
    <t>4.1</t>
  </si>
  <si>
    <t>4.2</t>
  </si>
  <si>
    <t>4.3</t>
  </si>
  <si>
    <t>Cooperativa de Trabajo</t>
  </si>
  <si>
    <t>4.4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</si>
  <si>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</si>
  <si>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</si>
  <si>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</si>
  <si>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</si>
  <si>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</si>
  <si>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</si>
  <si>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</si>
  <si>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</si>
  <si>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</si>
  <si>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</si>
  <si>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</si>
  <si>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6.1</t>
  </si>
  <si>
    <t>6.2</t>
  </si>
  <si>
    <t>6.3</t>
  </si>
  <si>
    <t>6.4</t>
  </si>
  <si>
    <t>6.5</t>
  </si>
  <si>
    <t>7.1</t>
  </si>
  <si>
    <t>7.2</t>
  </si>
  <si>
    <t>7.3</t>
  </si>
  <si>
    <t>7.4</t>
  </si>
  <si>
    <t>7.5</t>
  </si>
  <si>
    <t>7.6</t>
  </si>
  <si>
    <t>7.7</t>
  </si>
  <si>
    <t>8.1</t>
  </si>
  <si>
    <t>8.3</t>
  </si>
  <si>
    <t>8.4</t>
  </si>
  <si>
    <t>8.5</t>
  </si>
  <si>
    <t>8.6</t>
  </si>
  <si>
    <t>COMPRAS Utilería</t>
  </si>
  <si>
    <t>9.1</t>
  </si>
  <si>
    <t>9.2</t>
  </si>
  <si>
    <t>9.3</t>
  </si>
  <si>
    <t>9.4</t>
  </si>
  <si>
    <t>OTROS: SECRETARIA DE PRODUCCION</t>
  </si>
  <si>
    <t>Sub Total</t>
  </si>
  <si>
    <t>10.1</t>
  </si>
  <si>
    <t>10.2</t>
  </si>
  <si>
    <t>10.3</t>
  </si>
  <si>
    <t xml:space="preserve">Alquileres </t>
  </si>
  <si>
    <t>Auto de Accion</t>
  </si>
  <si>
    <t>10.4</t>
  </si>
  <si>
    <t>10.5</t>
  </si>
  <si>
    <t>ALQUILER de Locaciones</t>
  </si>
  <si>
    <t>11.1</t>
  </si>
  <si>
    <t>Estacionamiento y PERMISOS DE RODAJE</t>
  </si>
  <si>
    <t>11.2</t>
  </si>
  <si>
    <t>11.3</t>
  </si>
  <si>
    <t>Limpieza Locación</t>
  </si>
  <si>
    <t>Alquiler de Bases</t>
  </si>
  <si>
    <t>11.4</t>
  </si>
  <si>
    <t>11.5</t>
  </si>
  <si>
    <t>Alquiler de Baños Móviles</t>
  </si>
  <si>
    <t>11.6</t>
  </si>
  <si>
    <t>Realizaciones y efectos</t>
  </si>
  <si>
    <t>Alquileres</t>
  </si>
  <si>
    <t>ARCHIVO</t>
  </si>
  <si>
    <t>12.1</t>
  </si>
  <si>
    <t>12.2</t>
  </si>
  <si>
    <t>12.3</t>
  </si>
  <si>
    <t>Investigador de Archivos</t>
  </si>
  <si>
    <t>Derechos de Imágenes</t>
  </si>
  <si>
    <t>13.1</t>
  </si>
  <si>
    <t>13.2</t>
  </si>
  <si>
    <t>13.3</t>
  </si>
  <si>
    <t>13.4</t>
  </si>
  <si>
    <t>Director/a Musical</t>
  </si>
  <si>
    <t xml:space="preserve">MUSICOS (SAdeM) </t>
  </si>
  <si>
    <r>
      <t>DERECHOS MUSICALES - Fonogramas</t>
    </r>
    <r>
      <rPr>
        <i/>
        <sz val="10"/>
        <rFont val="Arial"/>
        <family val="2"/>
      </rPr>
      <t xml:space="preserve"> (Ref: mínimo SADAIC valor "C" x 2 temas)</t>
    </r>
  </si>
  <si>
    <t>13.5</t>
  </si>
  <si>
    <t>13.6</t>
  </si>
  <si>
    <t xml:space="preserve">COMPOSITOR/A - ARREGLADOR/A </t>
  </si>
  <si>
    <t>mas de 60 minutos</t>
  </si>
  <si>
    <r>
      <t xml:space="preserve">Derechos de Autor S.A.D.A.I.C. </t>
    </r>
    <r>
      <rPr>
        <i/>
        <sz val="10"/>
        <rFont val="Arial"/>
        <family val="2"/>
      </rPr>
      <t>(minimo SADAIC valor "P")</t>
    </r>
  </si>
  <si>
    <t>13.7</t>
  </si>
  <si>
    <t>(Aportes sumados en el Bruto AAA)</t>
  </si>
  <si>
    <t>(Aportes sumados en el Bruto SICA)</t>
  </si>
  <si>
    <t>MATERIAL DE ALMACENAMIENTO</t>
  </si>
  <si>
    <t xml:space="preserve">Discos  Rígidos </t>
  </si>
  <si>
    <t>14.1</t>
  </si>
  <si>
    <t>14.2</t>
  </si>
  <si>
    <t>14.3</t>
  </si>
  <si>
    <t>Otros elementos de almacenamiento</t>
  </si>
  <si>
    <t xml:space="preserve">Alquileres  </t>
  </si>
  <si>
    <t>14.4</t>
  </si>
  <si>
    <t>14.5</t>
  </si>
  <si>
    <t>POST PRODUCCIÓN DE IMAGEN</t>
  </si>
  <si>
    <t>15.1</t>
  </si>
  <si>
    <t>Conformado de Imagen</t>
  </si>
  <si>
    <t>15.2</t>
  </si>
  <si>
    <t>Corrección de Color</t>
  </si>
  <si>
    <t>15.3</t>
  </si>
  <si>
    <t>DCP + Kit</t>
  </si>
  <si>
    <t>15.4</t>
  </si>
  <si>
    <t xml:space="preserve">Deliveries </t>
  </si>
  <si>
    <t>15.6</t>
  </si>
  <si>
    <t>15.5</t>
  </si>
  <si>
    <t>Realización de Títulos</t>
  </si>
  <si>
    <t>Making Of</t>
  </si>
  <si>
    <t>15.7</t>
  </si>
  <si>
    <t>Alquiler de Equipamiento / Sala de Edición</t>
  </si>
  <si>
    <t>Diseño y producción de imágenes</t>
  </si>
  <si>
    <t>Sesiones de foto fija</t>
  </si>
  <si>
    <t>16.1</t>
  </si>
  <si>
    <t>16.2</t>
  </si>
  <si>
    <t>16.3</t>
  </si>
  <si>
    <t>16.4</t>
  </si>
  <si>
    <t xml:space="preserve"> BASE: Lunes a Viernes 8,45 hs + 2,15 hs extras diarias = 11 hs. totales 
(Algunos técnicos tiene mayor cantidad de Hs. Ex. x citaciones diferenciadas)</t>
  </si>
  <si>
    <t>(Detalla en Solapa Equ. Tec. x SICA)</t>
  </si>
  <si>
    <t>17.1</t>
  </si>
  <si>
    <t>17.2</t>
  </si>
  <si>
    <t>17.3</t>
  </si>
  <si>
    <t>17.4</t>
  </si>
  <si>
    <t>17.5</t>
  </si>
  <si>
    <t>17.6</t>
  </si>
  <si>
    <t>17.7</t>
  </si>
  <si>
    <t>17.8</t>
  </si>
  <si>
    <t>POST PRODUCCIÓN DE SONIDO</t>
  </si>
  <si>
    <t>POST PRODUCCIÓN DE SONIDO (Paquete)</t>
  </si>
  <si>
    <t>Armado de banda</t>
  </si>
  <si>
    <t>Foley</t>
  </si>
  <si>
    <t>Doblaje</t>
  </si>
  <si>
    <t>Mezcla de Sonido</t>
  </si>
  <si>
    <t>Edición de Efectos</t>
  </si>
  <si>
    <t>Licencias</t>
  </si>
  <si>
    <t>Jornadas</t>
  </si>
  <si>
    <t xml:space="preserve">Mezcla en sala cine 5.1 </t>
  </si>
  <si>
    <t>Digitalización, Transferencia del material a disco duro, Sincronización</t>
  </si>
  <si>
    <t>Limpieza, Edición y Armado Diálogos, FX Especiales. Ambientes y ruidos.</t>
  </si>
  <si>
    <t>Digitalización, Grabación Doblajes, Grabación Foley o Sonorización. Estudio. Insumos.</t>
  </si>
  <si>
    <t>incluído en el paquete 17.1</t>
  </si>
  <si>
    <r>
      <rPr>
        <sz val="10"/>
        <rFont val="Arial"/>
        <family val="2"/>
      </rPr>
      <t>VAC</t>
    </r>
    <r>
      <rPr>
        <sz val="9"/>
        <rFont val="Arial"/>
        <family val="2"/>
      </rPr>
      <t xml:space="preserve"> (Total Bruto / cantidad de semanas / 5) x (días corridos de contrato / 20)</t>
    </r>
  </si>
  <si>
    <r>
      <t xml:space="preserve">Cargas  Soc. AAA - </t>
    </r>
    <r>
      <rPr>
        <sz val="10"/>
        <rFont val="Arial"/>
        <family val="2"/>
      </rPr>
      <t xml:space="preserve">Contribuciones  Patronales - 25%  + 2,4 % ART - Fondo Maternidad </t>
    </r>
  </si>
  <si>
    <r>
      <t xml:space="preserve">Cargas Soc. SICA - </t>
    </r>
    <r>
      <rPr>
        <sz val="10"/>
        <rFont val="Arial"/>
        <family val="2"/>
      </rPr>
      <t xml:space="preserve">Contribuciones Patronales - 27% + 2% </t>
    </r>
  </si>
  <si>
    <r>
      <t>Cargas Soc. SADEM</t>
    </r>
    <r>
      <rPr>
        <sz val="10"/>
        <rFont val="Arial"/>
        <family val="2"/>
      </rPr>
      <t xml:space="preserve"> -Música Original + Músicos- 6 % Aportes (Musicos) + 7% Contribuciones (Productor) </t>
    </r>
  </si>
  <si>
    <r>
      <t xml:space="preserve">Cargas Soc. SUTEP </t>
    </r>
    <r>
      <rPr>
        <sz val="10"/>
        <rFont val="Arial"/>
        <family val="2"/>
      </rPr>
      <t>15% sobre el Total estimado para los Extras</t>
    </r>
  </si>
  <si>
    <r>
      <t>FOTO FIJA -</t>
    </r>
    <r>
      <rPr>
        <sz val="10"/>
        <rFont val="Arial"/>
        <family val="2"/>
      </rPr>
      <t xml:space="preserve"> Alquiler de equipos </t>
    </r>
    <r>
      <rPr>
        <i/>
        <sz val="10"/>
        <rFont val="Arial"/>
        <family val="2"/>
      </rPr>
      <t xml:space="preserve"> </t>
    </r>
  </si>
  <si>
    <r>
      <t xml:space="preserve">SEGURIDAD PARA FILMACION </t>
    </r>
    <r>
      <rPr>
        <sz val="10"/>
        <rFont val="Arial"/>
        <family val="2"/>
      </rPr>
      <t>(incluye Coordinacion) en Locaciones y Exteriores</t>
    </r>
  </si>
  <si>
    <r>
      <t xml:space="preserve">OTROS </t>
    </r>
    <r>
      <rPr>
        <sz val="10"/>
        <rFont val="Arial"/>
        <family val="2"/>
      </rPr>
      <t>(Ambulancia, Medico en set, etc)</t>
    </r>
  </si>
  <si>
    <t xml:space="preserve">EQUIPAMIENTO DE FILMACIÓN </t>
  </si>
  <si>
    <t>Equipos de camaras, lentes y accesorios de camara</t>
  </si>
  <si>
    <t>Equipos de luces y grip</t>
  </si>
  <si>
    <t xml:space="preserve"> Inlcuye Accesorios Grip (Vías rectas y curvas, escaleras, bolsas, 3 medidas, Tamizadores , Etc)</t>
  </si>
  <si>
    <t>Incuye Accesorios Luces (Trípodes, líneas, tableros, zapatillas, Etc.)</t>
  </si>
  <si>
    <t>18.1</t>
  </si>
  <si>
    <t>18.2</t>
  </si>
  <si>
    <t>18.3</t>
  </si>
  <si>
    <t>18.4</t>
  </si>
  <si>
    <t>Steadycam</t>
  </si>
  <si>
    <t>Drone - Helocóptero</t>
  </si>
  <si>
    <t>18.5</t>
  </si>
  <si>
    <t>Gruas y otros equipos</t>
  </si>
  <si>
    <t>18.6</t>
  </si>
  <si>
    <t>Alquiler equipamiento DIT</t>
  </si>
  <si>
    <t>Flat DIT</t>
  </si>
  <si>
    <t>18.7</t>
  </si>
  <si>
    <t>Camara car o similiar</t>
  </si>
  <si>
    <t>18.8</t>
  </si>
  <si>
    <t>18.9</t>
  </si>
  <si>
    <t>Pérdidas y roturas</t>
  </si>
  <si>
    <t>18.10</t>
  </si>
  <si>
    <t>Equipos de elevación (cherry pickers)</t>
  </si>
  <si>
    <t>18.11</t>
  </si>
  <si>
    <t>Consumibles</t>
  </si>
  <si>
    <t>18.12</t>
  </si>
  <si>
    <t>Equipos de Sonido</t>
  </si>
  <si>
    <t>18.13</t>
  </si>
  <si>
    <t>Varios Producción</t>
  </si>
  <si>
    <t>18.14</t>
  </si>
  <si>
    <t xml:space="preserve">Otros </t>
  </si>
  <si>
    <t>Efectos especiales y visuales (SFX + VFX)</t>
  </si>
  <si>
    <t>Contratacion sfx y accesorios</t>
  </si>
  <si>
    <t>19.1</t>
  </si>
  <si>
    <t>Supervision sfx</t>
  </si>
  <si>
    <t>19.2</t>
  </si>
  <si>
    <t>Stunts</t>
  </si>
  <si>
    <t>Contratación vfx en set</t>
  </si>
  <si>
    <t>19.3</t>
  </si>
  <si>
    <t>19.4</t>
  </si>
  <si>
    <t>19.5</t>
  </si>
  <si>
    <t>21.1</t>
  </si>
  <si>
    <t xml:space="preserve"> Auto Departamento de Producción 2 (S/Chofer) Incluye KM</t>
  </si>
  <si>
    <t xml:space="preserve"> Auto Actores  (con chofer)</t>
  </si>
  <si>
    <t>Autos Departamento de Arte y Vestuario (con Chofer)</t>
  </si>
  <si>
    <t>20.1</t>
  </si>
  <si>
    <t>20.2</t>
  </si>
  <si>
    <t>20.3</t>
  </si>
  <si>
    <t>Alquiler de Auto Locaciones</t>
  </si>
  <si>
    <t>(S/Chofer) Incluye KM</t>
  </si>
  <si>
    <t>Alquiler de Autos Produccion</t>
  </si>
  <si>
    <t>20.4</t>
  </si>
  <si>
    <t>Transporte Publico</t>
  </si>
  <si>
    <t xml:space="preserve">TAXIS - REMISES </t>
  </si>
  <si>
    <t>20.5</t>
  </si>
  <si>
    <t>Transporte de Talentos</t>
  </si>
  <si>
    <t>20.6</t>
  </si>
  <si>
    <t>Transporte Equipo Técnico</t>
  </si>
  <si>
    <t>20.7</t>
  </si>
  <si>
    <t>20.8</t>
  </si>
  <si>
    <t xml:space="preserve"> CAMIÓN de CAMARA (Retira equipos y Descarga en Estudio) con 20 Km incluidos   </t>
  </si>
  <si>
    <t xml:space="preserve"> CAMIÓN de CAMARA y SONIDO (mediano)</t>
  </si>
  <si>
    <t>20.9</t>
  </si>
  <si>
    <t xml:space="preserve">PEAJES y ESTACIONAMIENTOS </t>
  </si>
  <si>
    <r>
      <t>CAMIÓN DE CÁMARA</t>
    </r>
    <r>
      <rPr>
        <i/>
        <sz val="10"/>
        <rFont val="Arial"/>
        <family val="2"/>
      </rPr>
      <t xml:space="preserve"> (NO incluye kilometraje ni Horas Extras)</t>
    </r>
  </si>
  <si>
    <r>
      <t xml:space="preserve">CAMIÓN DE LUCES </t>
    </r>
    <r>
      <rPr>
        <i/>
        <sz val="10"/>
        <rFont val="Arial"/>
        <family val="2"/>
      </rPr>
      <t>(NO incluye kilometraje ni Horas Extras)</t>
    </r>
  </si>
  <si>
    <t>20.10</t>
  </si>
  <si>
    <r>
      <t xml:space="preserve">CAMIÓN DE GRIP y ACCESORIOS </t>
    </r>
    <r>
      <rPr>
        <i/>
        <sz val="10"/>
        <rFont val="Arial"/>
        <family val="2"/>
      </rPr>
      <t>(NO incluye kilometraje ni Horas Extras)</t>
    </r>
  </si>
  <si>
    <t xml:space="preserve"> CAMIÓN de MATERIAL ELECTRICO y GRIP con 20 Km incluidos</t>
  </si>
  <si>
    <t xml:space="preserve">MATERIAL ELECTRICO y GRIP (mediano) </t>
  </si>
  <si>
    <t>20.11</t>
  </si>
  <si>
    <r>
      <t xml:space="preserve">CAMIÓN DTO DE ARTE </t>
    </r>
    <r>
      <rPr>
        <i/>
        <sz val="10"/>
        <rFont val="Arial"/>
        <family val="2"/>
      </rPr>
      <t>(NO incluye kilometraje ni Horas Extras)</t>
    </r>
  </si>
  <si>
    <t>20.12</t>
  </si>
  <si>
    <r>
      <t xml:space="preserve">TRAILERS / MOTORHOMES </t>
    </r>
    <r>
      <rPr>
        <i/>
        <sz val="10"/>
        <rFont val="Arial"/>
        <family val="2"/>
      </rPr>
      <t>(NO incluye kilometraje ni Horas Extras)</t>
    </r>
  </si>
  <si>
    <t>20.13</t>
  </si>
  <si>
    <r>
      <t xml:space="preserve">CAMIÓN DE PRODUCCIÓN </t>
    </r>
    <r>
      <rPr>
        <i/>
        <sz val="10"/>
        <rFont val="Arial"/>
        <family val="2"/>
      </rPr>
      <t>(NO incluye kilometraje ni Horas Extras)</t>
    </r>
  </si>
  <si>
    <t>20.14</t>
  </si>
  <si>
    <t>20.15</t>
  </si>
  <si>
    <t>20.16</t>
  </si>
  <si>
    <t>20.17</t>
  </si>
  <si>
    <t>COMBUSTIBLE PARA VEHICULOS</t>
  </si>
  <si>
    <t>21.2</t>
  </si>
  <si>
    <t>21.3</t>
  </si>
  <si>
    <t>SERVICIO DE CATERING en filmación</t>
  </si>
  <si>
    <t>22.1</t>
  </si>
  <si>
    <t>22.2</t>
  </si>
  <si>
    <t>22.3</t>
  </si>
  <si>
    <t xml:space="preserve">DIETAS en …………… (nombre de la Ciudad / Ciudades) </t>
  </si>
  <si>
    <t xml:space="preserve">ALOJAMIENTO en …………… (nombre de la Ciudad / Ciudades) </t>
  </si>
  <si>
    <t>22.4</t>
  </si>
  <si>
    <t>22.5</t>
  </si>
  <si>
    <r>
      <rPr>
        <b/>
        <sz val="10"/>
        <rFont val="Arial"/>
        <family val="2"/>
      </rPr>
      <t xml:space="preserve">Lavandería </t>
    </r>
    <r>
      <rPr>
        <sz val="10"/>
        <rFont val="Arial"/>
        <family val="2"/>
      </rPr>
      <t>y acondicionamiento de espacios</t>
    </r>
  </si>
  <si>
    <t>23.1</t>
  </si>
  <si>
    <t>23.2</t>
  </si>
  <si>
    <t>Alquiler deposito arte / vestuario</t>
  </si>
  <si>
    <t>Servicio de administración</t>
  </si>
  <si>
    <t>23.3</t>
  </si>
  <si>
    <t>23.4</t>
  </si>
  <si>
    <t>Traduccion de Contratos</t>
  </si>
  <si>
    <t>23.5</t>
  </si>
  <si>
    <t>23.6</t>
  </si>
  <si>
    <t xml:space="preserve">MENSAJERIA </t>
  </si>
  <si>
    <t>23.7</t>
  </si>
  <si>
    <t>23.8</t>
  </si>
  <si>
    <t>TELEFONIA (móvil y fija)</t>
  </si>
  <si>
    <t>23.9</t>
  </si>
  <si>
    <t>Internet</t>
  </si>
  <si>
    <t>23.10</t>
  </si>
  <si>
    <t>23.11</t>
  </si>
  <si>
    <t>Clearence</t>
  </si>
  <si>
    <t>23.12</t>
  </si>
  <si>
    <t>23.13</t>
  </si>
  <si>
    <t>23.14</t>
  </si>
  <si>
    <t xml:space="preserve">SEGUROS EQUIPOS </t>
  </si>
  <si>
    <t>24.1</t>
  </si>
  <si>
    <t>24.2</t>
  </si>
  <si>
    <t>SEGUROS ACCIDENTES PERSONALES</t>
  </si>
  <si>
    <t>Seguros (package)</t>
  </si>
  <si>
    <t>24.3</t>
  </si>
  <si>
    <t>24.4</t>
  </si>
  <si>
    <t>Seguros contra terceros</t>
  </si>
  <si>
    <t>24.5</t>
  </si>
  <si>
    <t>Asistencia al viajero</t>
  </si>
  <si>
    <t>SEGURIDAD E HIGIENE</t>
  </si>
  <si>
    <t>25.1</t>
  </si>
  <si>
    <t>25.2</t>
  </si>
  <si>
    <t>Policía</t>
  </si>
  <si>
    <r>
      <t xml:space="preserve">Despejes </t>
    </r>
    <r>
      <rPr>
        <sz val="10"/>
        <rFont val="Arial"/>
        <family val="2"/>
      </rPr>
      <t>(2 Personas)</t>
    </r>
  </si>
  <si>
    <t>25.3</t>
  </si>
  <si>
    <t>Suministros de seguridad</t>
  </si>
  <si>
    <t>25.4</t>
  </si>
  <si>
    <t>Higiene en Set</t>
  </si>
  <si>
    <t>25.5</t>
  </si>
  <si>
    <t>Actual s/IVA</t>
  </si>
  <si>
    <t>Diferencia</t>
  </si>
  <si>
    <t>REALIZACION DE TRAILER Y SPOT</t>
  </si>
  <si>
    <t>26.1</t>
  </si>
  <si>
    <t>CONVERSION DE FORMATO</t>
  </si>
  <si>
    <t>26.2</t>
  </si>
  <si>
    <t>26.3</t>
  </si>
  <si>
    <t>REALIZACION DE TRAILER / SPOT</t>
  </si>
  <si>
    <t>26.4</t>
  </si>
  <si>
    <t>POST SONIDO DE TRAILER / SPOT</t>
  </si>
  <si>
    <t>26.5</t>
  </si>
  <si>
    <t>EDICION DE TRAILER / SPOT</t>
  </si>
  <si>
    <t>26.6</t>
  </si>
  <si>
    <t>COPIA A</t>
  </si>
  <si>
    <t>27.1</t>
  </si>
  <si>
    <t>27.2</t>
  </si>
  <si>
    <t>SPOTS TEASER DCP</t>
  </si>
  <si>
    <t>27.3</t>
  </si>
  <si>
    <t>TRAILER DCP</t>
  </si>
  <si>
    <t>REALIZACION DE AFICHE / IMPRESIONES</t>
  </si>
  <si>
    <t>28.1</t>
  </si>
  <si>
    <t>DISEÑO DE PIEZAS PROMOCIONALES: GRAFICA, DIGITAL</t>
  </si>
  <si>
    <t>28.2</t>
  </si>
  <si>
    <t>IMPRESIÓN DE AFICHES</t>
  </si>
  <si>
    <t>28.3</t>
  </si>
  <si>
    <t>IMPRESIÓN DE BANNERS</t>
  </si>
  <si>
    <t>28.4</t>
  </si>
  <si>
    <t>STANDEES</t>
  </si>
  <si>
    <t>28.5</t>
  </si>
  <si>
    <t>IMPRESIÓN DE POSTALES</t>
  </si>
  <si>
    <t>PUBLICIDAD</t>
  </si>
  <si>
    <t>29.1</t>
  </si>
  <si>
    <t>29.2</t>
  </si>
  <si>
    <t>VIA PUBLICA</t>
  </si>
  <si>
    <t>29.3</t>
  </si>
  <si>
    <t>PLOTEO EN SALAS DE CINE</t>
  </si>
  <si>
    <t>29.4</t>
  </si>
  <si>
    <t>PAUTA EN SALAS CINEMATOGRAFICAS</t>
  </si>
  <si>
    <t>SUBT 26-29</t>
  </si>
  <si>
    <t>TOTAL 1-29</t>
  </si>
  <si>
    <t>TOTAL RUBRO 26</t>
  </si>
  <si>
    <t>TOTAL RUBRO 29</t>
  </si>
  <si>
    <t>TOTAL RUBRO 28</t>
  </si>
  <si>
    <t>TOTAL RUBRO 27</t>
  </si>
  <si>
    <t>COMPRAS DE MAQUILLAJE</t>
  </si>
  <si>
    <t>REALIZACIONES Y EFECTOS ESPECIALES</t>
  </si>
  <si>
    <t xml:space="preserve">ALQUILERES Maquillaje </t>
  </si>
  <si>
    <t>ALQUILER SET MAQUILLAJE y PEINADO + EFECTOS</t>
  </si>
  <si>
    <t>MATERIAL DE ARCHIVO</t>
  </si>
  <si>
    <t>MATERIAL VIRGEN</t>
  </si>
  <si>
    <t>PROCESO DE LABORATORIO</t>
  </si>
  <si>
    <t>PROCESOS DE SONIDO</t>
  </si>
  <si>
    <t>EQUIPOS DE CAMARAS Y LUCES</t>
  </si>
  <si>
    <t>EFECTOS ESPECIALES</t>
  </si>
  <si>
    <t>SEGURIDAD</t>
  </si>
  <si>
    <t>Cintas LTO 8 / Tapes</t>
  </si>
  <si>
    <t>USD</t>
  </si>
  <si>
    <t>SUBTOTAL Rubros 1-25</t>
  </si>
  <si>
    <t>SUBTOTAL Rubros 26-29</t>
  </si>
  <si>
    <t>PAUTA EN GRAFICA, MEDIOS DIGITALES, RRSS, RADIO, WEB</t>
  </si>
  <si>
    <t>(incluye LTO)</t>
  </si>
  <si>
    <t>COORDINACIÓN DE POST PRODUCCIÓN</t>
  </si>
  <si>
    <t>PRESUPUESTO LARGOMETRAJE NACIONAL 
COSTO PROMEDIO  proyectado a Marzo 2025</t>
  </si>
  <si>
    <t xml:space="preserve">LOCUCION </t>
  </si>
  <si>
    <t>Conformado, On Line, Master</t>
  </si>
  <si>
    <t>LTO 8</t>
  </si>
  <si>
    <t>discos para backup y edición LACIE 8 tb</t>
  </si>
  <si>
    <t>Alquiler Estudio</t>
  </si>
  <si>
    <t>COPIAS DCP + el disco en comodato x 1 año</t>
  </si>
  <si>
    <t>COPIAS SPOT DE CINE + envíos</t>
  </si>
  <si>
    <t>CAMIÓN de UTILERIA / PRODUCCION  (mediano c/ pala)</t>
  </si>
  <si>
    <r>
      <t xml:space="preserve">VFX </t>
    </r>
    <r>
      <rPr>
        <sz val="10"/>
        <rFont val="Arial"/>
        <family val="2"/>
      </rPr>
      <t xml:space="preserve">(base standard) </t>
    </r>
  </si>
  <si>
    <t>Armas de fuego, Efectos reales en Set</t>
  </si>
  <si>
    <t xml:space="preserve">Pre-mezcla </t>
  </si>
  <si>
    <t>Jornada Print – Master Film DCP, Materiales de audio</t>
  </si>
  <si>
    <t>para entrega Copia A INCAA</t>
  </si>
  <si>
    <t>SEGURO INTEGRAL: Equipos, Locaciones, Vestuario, Utilería + Responsasbilidad Civil</t>
  </si>
  <si>
    <t>ACTUAL Marzo 2026 (SOLO Rubros 1 a 25)</t>
  </si>
  <si>
    <r>
      <t xml:space="preserve">PRODUCCIÓN EJECUTIVA </t>
    </r>
    <r>
      <rPr>
        <i/>
        <sz val="10"/>
        <rFont val="Arial"/>
        <family val="2"/>
      </rPr>
      <t xml:space="preserve">(8% sobre total de presup excepto rubro Dir y Guión) </t>
    </r>
  </si>
  <si>
    <t>Inflación proyectada:</t>
  </si>
  <si>
    <t>USD proyectado:</t>
  </si>
  <si>
    <t>Escribanía (en Honorarios Legales)</t>
  </si>
  <si>
    <t>$</t>
  </si>
  <si>
    <t>SUBE en 2026 (solo Rubros 1 a 25)</t>
  </si>
  <si>
    <t xml:space="preserve">OTROS - Varios Producción / Gastos Bancarios </t>
  </si>
  <si>
    <t>Impuestos Debito / Credito</t>
  </si>
  <si>
    <t>Locación Casa Central  (Exterior e Interior)</t>
  </si>
  <si>
    <t xml:space="preserve">TOTAL refe p/ Impuestos </t>
  </si>
  <si>
    <t>TOTAL Rubros 1 a 29</t>
  </si>
  <si>
    <t>TOTAL sin IVA</t>
  </si>
  <si>
    <t>TOTAL c/ IVA</t>
  </si>
  <si>
    <t>SUBTOTAL sin IVA</t>
  </si>
  <si>
    <t>SUBTOTAL c/ IVA</t>
  </si>
  <si>
    <t>SUBT 1 - 25</t>
  </si>
</sst>
</file>

<file path=xl/styles.xml><?xml version="1.0" encoding="utf-8"?>
<styleSheet xmlns="http://schemas.openxmlformats.org/spreadsheetml/2006/main">
  <numFmts count="23">
    <numFmt numFmtId="8" formatCode="&quot;$&quot;\ #,##0.00;[Red]\-&quot;$&quot;\ #,##0.00"/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_ * #,##0.00_ ;_ * \-#,##0.00_ ;_ * \-??_ ;_ @_ "/>
    <numFmt numFmtId="165" formatCode="\$#,##0.00"/>
    <numFmt numFmtId="166" formatCode="00"/>
    <numFmt numFmtId="167" formatCode="[$$-409]#,##0.00"/>
    <numFmt numFmtId="168" formatCode="0\ %"/>
    <numFmt numFmtId="169" formatCode="0.00\ %"/>
    <numFmt numFmtId="170" formatCode="#,##0.0"/>
    <numFmt numFmtId="171" formatCode="0.0%"/>
    <numFmt numFmtId="172" formatCode="_-&quot;$&quot;\ * #,##0_-;\-&quot;$&quot;\ * #,##0_-;_-&quot;$&quot;\ * &quot;-&quot;??_-;_-@_-"/>
    <numFmt numFmtId="173" formatCode="0.0"/>
    <numFmt numFmtId="174" formatCode="&quot;$&quot;\ #,##0"/>
    <numFmt numFmtId="175" formatCode="_-&quot;$&quot;\ * #,##0_-;\-&quot;$&quot;\ * #,##0_-;_-&quot;$&quot;\ * &quot;-&quot;??_-;_-@"/>
    <numFmt numFmtId="176" formatCode="_-[$$-2C0A]\ * #,##0_-;\-[$$-2C0A]\ * #,##0_-;_-[$$-2C0A]\ * &quot;-&quot;??_-;_-@_-"/>
    <numFmt numFmtId="177" formatCode="\$\ #,##0"/>
    <numFmt numFmtId="178" formatCode="0.0\ %"/>
    <numFmt numFmtId="179" formatCode="&quot; &quot;* #,##0&quot;     &quot;;&quot;-&quot;* #,##0&quot;     &quot;;&quot; &quot;* &quot;-&quot;??&quot;     &quot;"/>
    <numFmt numFmtId="180" formatCode="&quot; &quot;&quot;$&quot;&quot; &quot;* #,##0.00&quot; &quot;;&quot; &quot;&quot;$&quot;&quot; &quot;* &quot;-&quot;#,##0.00&quot; &quot;;&quot; &quot;&quot;$&quot;&quot; &quot;* &quot;-&quot;??&quot; &quot;"/>
    <numFmt numFmtId="181" formatCode="[$USD]\ #,##0"/>
    <numFmt numFmtId="182" formatCode="_-[$€-2]\ * #,##0.0_-;\-[$€-2]\ * #,##0.0_-;_-[$€-2]\ * &quot;-&quot;??_-;_-@_-"/>
    <numFmt numFmtId="183" formatCode="_-[$USD]\ * #,##0_-;\-[$USD]\ * #,##0_-;_-[$USD]\ * &quot;-&quot;??_-;_-@_-"/>
  </numFmts>
  <fonts count="88">
    <font>
      <sz val="10"/>
      <name val="Arial"/>
      <family val="2"/>
    </font>
    <font>
      <b/>
      <sz val="10"/>
      <name val="Arial"/>
      <family val="2"/>
    </font>
    <font>
      <b/>
      <sz val="6"/>
      <color indexed="2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8"/>
      <color indexed="2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i/>
      <sz val="10"/>
      <color indexed="10"/>
      <name val="Arial"/>
      <family val="2"/>
    </font>
    <font>
      <b/>
      <sz val="16"/>
      <name val="Arial"/>
      <family val="2"/>
    </font>
    <font>
      <b/>
      <i/>
      <sz val="9"/>
      <color indexed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</font>
    <font>
      <sz val="9.5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i/>
      <sz val="11"/>
      <color indexed="17"/>
      <name val="Arial"/>
      <family val="2"/>
    </font>
    <font>
      <sz val="16"/>
      <name val="Arial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b/>
      <sz val="16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FFFF00"/>
      <name val="Arial"/>
      <family val="2"/>
    </font>
    <font>
      <sz val="14"/>
      <color rgb="FF000000"/>
      <name val="Arial"/>
      <family val="2"/>
    </font>
    <font>
      <sz val="10"/>
      <color theme="5" tint="0.39997558519241921"/>
      <name val="Arial"/>
      <family val="2"/>
    </font>
    <font>
      <sz val="8"/>
      <color theme="5" tint="0.39997558519241921"/>
      <name val="Arial"/>
      <family val="2"/>
    </font>
    <font>
      <b/>
      <sz val="10"/>
      <color theme="5" tint="0.39997558519241921"/>
      <name val="Arial"/>
      <family val="2"/>
    </font>
    <font>
      <i/>
      <sz val="10"/>
      <color rgb="FF008000"/>
      <name val="Arial"/>
      <family val="2"/>
    </font>
    <font>
      <b/>
      <sz val="6"/>
      <color theme="0" tint="-0.249977111117893"/>
      <name val="Arial"/>
      <family val="2"/>
    </font>
    <font>
      <sz val="11"/>
      <color rgb="FFFF0000"/>
      <name val="Arial"/>
      <family val="2"/>
    </font>
    <font>
      <sz val="10"/>
      <color theme="3" tint="0.39997558519241921"/>
      <name val="Arial"/>
      <family val="2"/>
    </font>
    <font>
      <sz val="10"/>
      <color theme="9" tint="0.39997558519241921"/>
      <name val="Arial"/>
      <family val="2"/>
    </font>
    <font>
      <b/>
      <sz val="10"/>
      <color theme="9" tint="0.39997558519241921"/>
      <name val="Arial"/>
      <family val="2"/>
    </font>
    <font>
      <sz val="8"/>
      <color theme="9" tint="0.39997558519241921"/>
      <name val="Arial"/>
      <family val="2"/>
    </font>
    <font>
      <b/>
      <sz val="10"/>
      <color theme="5" tint="0.59999389629810485"/>
      <name val="Arial"/>
      <family val="2"/>
    </font>
    <font>
      <sz val="8"/>
      <color theme="5" tint="0.59999389629810485"/>
      <name val="Arial"/>
      <family val="2"/>
    </font>
    <font>
      <sz val="10"/>
      <color theme="5" tint="0.59999389629810485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sz val="10"/>
      <color theme="1"/>
      <name val="Arial"/>
      <family val="2"/>
    </font>
    <font>
      <sz val="8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i/>
      <sz val="8"/>
      <name val="Arial"/>
      <family val="2"/>
    </font>
    <font>
      <b/>
      <u/>
      <sz val="9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2"/>
      <color rgb="FF7030A0"/>
      <name val="Arial"/>
      <family val="2"/>
    </font>
    <font>
      <b/>
      <sz val="12"/>
      <color rgb="FF7030A0"/>
      <name val="Arial"/>
      <family val="2"/>
    </font>
    <font>
      <u/>
      <sz val="10"/>
      <color theme="0"/>
      <name val="Arial"/>
      <family val="2"/>
    </font>
    <font>
      <b/>
      <sz val="11"/>
      <color theme="0"/>
      <name val="Arial"/>
      <family val="2"/>
    </font>
    <font>
      <b/>
      <sz val="18"/>
      <color theme="0"/>
      <name val="Arial"/>
      <family val="2"/>
    </font>
    <font>
      <b/>
      <sz val="6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indexed="8"/>
      <name val="Tahoma"/>
      <family val="2"/>
    </font>
    <font>
      <b/>
      <sz val="10"/>
      <color indexed="21"/>
      <name val="Tahoma"/>
      <family val="2"/>
    </font>
    <font>
      <sz val="10"/>
      <color indexed="8"/>
      <name val="Tahoma"/>
      <family val="2"/>
    </font>
    <font>
      <sz val="10"/>
      <color indexed="8"/>
      <name val="Arial"/>
      <family val="2"/>
    </font>
    <font>
      <sz val="10"/>
      <name val="Tahoma"/>
      <family val="2"/>
    </font>
    <font>
      <sz val="10"/>
      <color indexed="21"/>
      <name val="Tahoma"/>
      <family val="2"/>
    </font>
    <font>
      <sz val="12"/>
      <color rgb="FF0070C0"/>
      <name val="Arial"/>
      <family val="2"/>
    </font>
    <font>
      <sz val="16"/>
      <color rgb="FF0070C0"/>
      <name val="Arial"/>
      <family val="2"/>
    </font>
    <font>
      <sz val="11"/>
      <color rgb="FF0070C0"/>
      <name val="Arial"/>
      <family val="2"/>
    </font>
    <font>
      <b/>
      <sz val="8"/>
      <color rgb="FF0070C0"/>
      <name val="Arial"/>
      <family val="2"/>
    </font>
    <font>
      <sz val="8"/>
      <color rgb="FF0070C0"/>
      <name val="Arial"/>
      <family val="2"/>
    </font>
    <font>
      <b/>
      <sz val="11"/>
      <color rgb="FF0070C0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sz val="11"/>
      <color rgb="FF00B050"/>
      <name val="Arial"/>
      <family val="2"/>
    </font>
    <font>
      <b/>
      <sz val="6"/>
      <color rgb="FF0070C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0"/>
        <bgColor indexed="49"/>
      </patternFill>
    </fill>
    <fill>
      <patternFill patternType="solid">
        <fgColor indexed="44"/>
        <bgColor indexed="3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26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13"/>
      </patternFill>
    </fill>
    <fill>
      <patternFill patternType="solid">
        <fgColor theme="7" tint="0.59999389629810485"/>
        <bgColor indexed="13"/>
      </patternFill>
    </fill>
    <fill>
      <patternFill patternType="solid">
        <fgColor theme="7" tint="0.59999389629810485"/>
        <bgColor indexed="49"/>
      </patternFill>
    </fill>
    <fill>
      <patternFill patternType="solid">
        <fgColor theme="7" tint="0.59999389629810485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rgb="FF7030A0"/>
        <bgColor indexed="13"/>
      </patternFill>
    </fill>
    <fill>
      <patternFill patternType="solid">
        <fgColor rgb="FF7030A0"/>
        <bgColor indexed="26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/>
        <bgColor indexed="26"/>
      </patternFill>
    </fill>
    <fill>
      <patternFill patternType="solid">
        <fgColor theme="2" tint="0.79998168889431442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31"/>
      </patternFill>
    </fill>
    <fill>
      <patternFill patternType="solid">
        <fgColor theme="0" tint="-4.9989318521683403E-2"/>
        <bgColor indexed="26"/>
      </patternFill>
    </fill>
    <fill>
      <patternFill patternType="solid">
        <fgColor theme="7"/>
        <bgColor indexed="64"/>
      </patternFill>
    </fill>
  </fills>
  <borders count="150">
    <border>
      <left/>
      <right/>
      <top/>
      <bottom/>
      <diagonal/>
    </border>
    <border>
      <left style="double">
        <color indexed="12"/>
      </left>
      <right/>
      <top style="double">
        <color indexed="12"/>
      </top>
      <bottom/>
      <diagonal/>
    </border>
    <border>
      <left/>
      <right/>
      <top style="double">
        <color indexed="12"/>
      </top>
      <bottom/>
      <diagonal/>
    </border>
    <border>
      <left/>
      <right style="double">
        <color indexed="12"/>
      </right>
      <top style="double">
        <color indexed="12"/>
      </top>
      <bottom/>
      <diagonal/>
    </border>
    <border>
      <left style="double">
        <color indexed="12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double">
        <color indexed="12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8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8"/>
      </top>
      <bottom/>
      <diagonal/>
    </border>
    <border>
      <left style="double">
        <color indexed="12"/>
      </left>
      <right/>
      <top/>
      <bottom style="double">
        <color indexed="12"/>
      </bottom>
      <diagonal/>
    </border>
    <border>
      <left/>
      <right/>
      <top/>
      <bottom style="double">
        <color indexed="12"/>
      </bottom>
      <diagonal/>
    </border>
    <border>
      <left/>
      <right style="double">
        <color indexed="12"/>
      </right>
      <top/>
      <bottom style="double">
        <color indexed="12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55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55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55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55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/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/>
      <diagonal/>
    </border>
    <border>
      <left/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11"/>
      </left>
      <right/>
      <top/>
      <bottom style="thin">
        <color indexed="11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</borders>
  <cellStyleXfs count="8">
    <xf numFmtId="0" fontId="0" fillId="0" borderId="0"/>
    <xf numFmtId="0" fontId="24" fillId="0" borderId="0" applyNumberFormat="0" applyFill="0" applyBorder="0" applyAlignment="0" applyProtection="0"/>
    <xf numFmtId="164" fontId="18" fillId="0" borderId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9" fontId="18" fillId="0" borderId="0" applyFont="0" applyFill="0" applyBorder="0" applyAlignment="0" applyProtection="0"/>
  </cellStyleXfs>
  <cellXfs count="106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164" fontId="0" fillId="0" borderId="0" xfId="2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 applyProtection="1">
      <alignment vertical="center"/>
      <protection locked="0"/>
    </xf>
    <xf numFmtId="164" fontId="0" fillId="2" borderId="0" xfId="2" applyFont="1" applyFill="1" applyBorder="1" applyAlignment="1" applyProtection="1">
      <alignment horizontal="right" vertical="center"/>
      <protection locked="0"/>
    </xf>
    <xf numFmtId="0" fontId="1" fillId="2" borderId="0" xfId="0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 applyProtection="1">
      <alignment vertical="center"/>
      <protection locked="0"/>
    </xf>
    <xf numFmtId="164" fontId="0" fillId="2" borderId="2" xfId="2" applyFont="1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 applyProtection="1">
      <alignment horizontal="right" vertical="center"/>
      <protection locked="0"/>
    </xf>
    <xf numFmtId="0" fontId="3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 applyAlignment="1" applyProtection="1">
      <alignment horizontal="right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5" fillId="2" borderId="4" xfId="0" applyFont="1" applyFill="1" applyBorder="1" applyAlignment="1">
      <alignment vertical="center"/>
    </xf>
    <xf numFmtId="0" fontId="1" fillId="0" borderId="0" xfId="0" applyFont="1"/>
    <xf numFmtId="164" fontId="4" fillId="2" borderId="10" xfId="2" applyFont="1" applyFill="1" applyBorder="1" applyAlignment="1" applyProtection="1">
      <alignment horizontal="center" vertical="center"/>
      <protection locked="0"/>
    </xf>
    <xf numFmtId="164" fontId="4" fillId="2" borderId="11" xfId="2" applyFont="1" applyFill="1" applyBorder="1" applyAlignment="1" applyProtection="1">
      <alignment horizontal="center" vertical="center"/>
      <protection locked="0"/>
    </xf>
    <xf numFmtId="166" fontId="4" fillId="2" borderId="12" xfId="0" applyNumberFormat="1" applyFont="1" applyFill="1" applyBorder="1" applyAlignment="1" applyProtection="1">
      <alignment horizontal="center" vertical="center"/>
      <protection locked="0"/>
    </xf>
    <xf numFmtId="4" fontId="5" fillId="2" borderId="13" xfId="0" applyNumberFormat="1" applyFont="1" applyFill="1" applyBorder="1" applyAlignment="1" applyProtection="1">
      <alignment horizontal="center" vertical="center"/>
      <protection hidden="1"/>
    </xf>
    <xf numFmtId="4" fontId="5" fillId="2" borderId="14" xfId="0" applyNumberFormat="1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>
      <alignment vertical="center"/>
    </xf>
    <xf numFmtId="3" fontId="5" fillId="2" borderId="15" xfId="0" applyNumberFormat="1" applyFont="1" applyFill="1" applyBorder="1" applyAlignment="1" applyProtection="1">
      <alignment horizontal="center" vertical="center"/>
      <protection hidden="1"/>
    </xf>
    <xf numFmtId="3" fontId="5" fillId="2" borderId="16" xfId="0" applyNumberFormat="1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4" fontId="0" fillId="2" borderId="0" xfId="2" applyFont="1" applyFill="1" applyBorder="1" applyAlignment="1" applyProtection="1">
      <alignment horizontal="right" vertical="center"/>
      <protection hidden="1"/>
    </xf>
    <xf numFmtId="0" fontId="0" fillId="2" borderId="0" xfId="0" applyFill="1" applyAlignment="1" applyProtection="1">
      <alignment vertical="center"/>
      <protection hidden="1"/>
    </xf>
    <xf numFmtId="167" fontId="5" fillId="2" borderId="0" xfId="0" applyNumberFormat="1" applyFont="1" applyFill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8" fillId="3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vertical="center"/>
    </xf>
    <xf numFmtId="164" fontId="3" fillId="4" borderId="19" xfId="2" applyFont="1" applyFill="1" applyBorder="1" applyAlignment="1" applyProtection="1">
      <alignment horizontal="right" vertical="center"/>
      <protection hidden="1"/>
    </xf>
    <xf numFmtId="0" fontId="3" fillId="4" borderId="19" xfId="0" applyFont="1" applyFill="1" applyBorder="1" applyAlignment="1" applyProtection="1">
      <alignment vertical="center"/>
      <protection hidden="1"/>
    </xf>
    <xf numFmtId="0" fontId="3" fillId="0" borderId="0" xfId="0" applyFont="1" applyAlignment="1">
      <alignment vertical="center"/>
    </xf>
    <xf numFmtId="3" fontId="0" fillId="2" borderId="4" xfId="0" applyNumberForma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8" fillId="0" borderId="20" xfId="0" applyFont="1" applyBorder="1" applyAlignment="1">
      <alignment vertical="center"/>
    </xf>
    <xf numFmtId="164" fontId="0" fillId="2" borderId="20" xfId="2" applyFont="1" applyFill="1" applyBorder="1" applyAlignment="1" applyProtection="1">
      <alignment horizontal="right" vertical="center"/>
      <protection hidden="1"/>
    </xf>
    <xf numFmtId="0" fontId="0" fillId="2" borderId="20" xfId="0" applyFill="1" applyBorder="1" applyAlignment="1" applyProtection="1">
      <alignment vertical="center"/>
      <protection hidden="1"/>
    </xf>
    <xf numFmtId="167" fontId="8" fillId="2" borderId="21" xfId="0" applyNumberFormat="1" applyFont="1" applyFill="1" applyBorder="1" applyAlignment="1">
      <alignment horizontal="center" vertical="center"/>
    </xf>
    <xf numFmtId="3" fontId="0" fillId="2" borderId="8" xfId="0" applyNumberFormat="1" applyFill="1" applyBorder="1" applyAlignment="1">
      <alignment vertical="center"/>
    </xf>
    <xf numFmtId="3" fontId="0" fillId="2" borderId="20" xfId="0" applyNumberFormat="1" applyFill="1" applyBorder="1" applyAlignment="1">
      <alignment vertical="center"/>
    </xf>
    <xf numFmtId="3" fontId="0" fillId="2" borderId="22" xfId="0" applyNumberFormat="1" applyFill="1" applyBorder="1" applyAlignment="1">
      <alignment vertical="center"/>
    </xf>
    <xf numFmtId="0" fontId="1" fillId="2" borderId="23" xfId="0" applyFont="1" applyFill="1" applyBorder="1" applyAlignment="1">
      <alignment horizontal="center" vertical="center"/>
    </xf>
    <xf numFmtId="0" fontId="8" fillId="0" borderId="23" xfId="0" applyFont="1" applyBorder="1" applyAlignment="1">
      <alignment vertical="center"/>
    </xf>
    <xf numFmtId="164" fontId="0" fillId="2" borderId="23" xfId="2" applyFont="1" applyFill="1" applyBorder="1" applyAlignment="1" applyProtection="1">
      <alignment horizontal="right" vertical="center"/>
      <protection hidden="1"/>
    </xf>
    <xf numFmtId="167" fontId="8" fillId="2" borderId="23" xfId="0" applyNumberFormat="1" applyFont="1" applyFill="1" applyBorder="1" applyAlignment="1">
      <alignment horizontal="center" vertical="center"/>
    </xf>
    <xf numFmtId="167" fontId="3" fillId="2" borderId="23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3" fontId="8" fillId="2" borderId="4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right" vertical="center"/>
    </xf>
    <xf numFmtId="3" fontId="8" fillId="2" borderId="8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1" fillId="2" borderId="25" xfId="0" applyFont="1" applyFill="1" applyBorder="1" applyAlignment="1">
      <alignment horizontal="center" vertical="center"/>
    </xf>
    <xf numFmtId="0" fontId="0" fillId="2" borderId="0" xfId="0" applyFill="1" applyAlignment="1" applyProtection="1">
      <alignment horizontal="left" vertical="center"/>
      <protection locked="0"/>
    </xf>
    <xf numFmtId="4" fontId="1" fillId="2" borderId="0" xfId="0" applyNumberFormat="1" applyFont="1" applyFill="1" applyAlignment="1" applyProtection="1">
      <alignment vertical="center"/>
      <protection locked="0"/>
    </xf>
    <xf numFmtId="3" fontId="0" fillId="2" borderId="0" xfId="0" applyNumberFormat="1" applyFill="1" applyAlignment="1">
      <alignment vertical="center"/>
    </xf>
    <xf numFmtId="3" fontId="1" fillId="2" borderId="0" xfId="0" applyNumberFormat="1" applyFont="1" applyFill="1" applyAlignment="1">
      <alignment vertical="center"/>
    </xf>
    <xf numFmtId="0" fontId="0" fillId="2" borderId="0" xfId="0" applyFill="1"/>
    <xf numFmtId="166" fontId="10" fillId="2" borderId="4" xfId="0" applyNumberFormat="1" applyFont="1" applyFill="1" applyBorder="1" applyAlignment="1" applyProtection="1">
      <alignment horizontal="center" vertical="center"/>
      <protection locked="0"/>
    </xf>
    <xf numFmtId="166" fontId="10" fillId="2" borderId="0" xfId="0" applyNumberFormat="1" applyFont="1" applyFill="1" applyAlignment="1" applyProtection="1">
      <alignment horizontal="center" vertical="center"/>
      <protection locked="0"/>
    </xf>
    <xf numFmtId="166" fontId="10" fillId="2" borderId="8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vertical="center"/>
    </xf>
    <xf numFmtId="164" fontId="8" fillId="2" borderId="17" xfId="2" applyFont="1" applyFill="1" applyBorder="1" applyAlignment="1" applyProtection="1">
      <alignment horizontal="right" vertical="center"/>
      <protection hidden="1"/>
    </xf>
    <xf numFmtId="0" fontId="8" fillId="2" borderId="1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locked="0"/>
    </xf>
    <xf numFmtId="4" fontId="8" fillId="2" borderId="17" xfId="0" applyNumberFormat="1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>
      <alignment vertical="center"/>
    </xf>
    <xf numFmtId="3" fontId="8" fillId="2" borderId="17" xfId="0" applyNumberFormat="1" applyFont="1" applyFill="1" applyBorder="1" applyAlignment="1" applyProtection="1">
      <alignment horizontal="center" vertical="center"/>
      <protection hidden="1"/>
    </xf>
    <xf numFmtId="0" fontId="1" fillId="2" borderId="27" xfId="0" applyFont="1" applyFill="1" applyBorder="1" applyAlignment="1" applyProtection="1">
      <alignment horizontal="left" vertical="center"/>
      <protection locked="0"/>
    </xf>
    <xf numFmtId="1" fontId="0" fillId="2" borderId="28" xfId="2" applyNumberFormat="1" applyFont="1" applyFill="1" applyBorder="1" applyAlignment="1" applyProtection="1">
      <alignment horizontal="right" vertical="center"/>
      <protection locked="0"/>
    </xf>
    <xf numFmtId="3" fontId="0" fillId="2" borderId="17" xfId="0" applyNumberFormat="1" applyFill="1" applyBorder="1" applyAlignment="1" applyProtection="1">
      <alignment vertical="center"/>
      <protection locked="0"/>
    </xf>
    <xf numFmtId="3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" fontId="0" fillId="2" borderId="17" xfId="2" applyNumberFormat="1" applyFont="1" applyFill="1" applyBorder="1" applyAlignment="1" applyProtection="1">
      <alignment horizontal="right" vertical="center"/>
      <protection locked="0"/>
    </xf>
    <xf numFmtId="3" fontId="0" fillId="2" borderId="17" xfId="0" applyNumberForma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>
      <alignment horizontal="right" vertical="center"/>
    </xf>
    <xf numFmtId="3" fontId="8" fillId="2" borderId="29" xfId="0" applyNumberFormat="1" applyFont="1" applyFill="1" applyBorder="1" applyAlignment="1" applyProtection="1">
      <alignment horizontal="right" vertical="center"/>
      <protection hidden="1"/>
    </xf>
    <xf numFmtId="3" fontId="8" fillId="2" borderId="18" xfId="0" applyNumberFormat="1" applyFont="1" applyFill="1" applyBorder="1" applyAlignment="1" applyProtection="1">
      <alignment vertical="center"/>
      <protection hidden="1"/>
    </xf>
    <xf numFmtId="3" fontId="8" fillId="2" borderId="17" xfId="0" applyNumberFormat="1" applyFont="1" applyFill="1" applyBorder="1" applyAlignment="1" applyProtection="1">
      <alignment vertical="center"/>
      <protection hidden="1"/>
    </xf>
    <xf numFmtId="3" fontId="8" fillId="2" borderId="30" xfId="0" applyNumberFormat="1" applyFont="1" applyFill="1" applyBorder="1" applyAlignment="1" applyProtection="1">
      <alignment vertical="center"/>
      <protection hidden="1"/>
    </xf>
    <xf numFmtId="3" fontId="0" fillId="2" borderId="17" xfId="0" applyNumberForma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4" fontId="0" fillId="2" borderId="0" xfId="0" applyNumberFormat="1" applyFill="1" applyAlignment="1" applyProtection="1">
      <alignment horizontal="right" vertical="center"/>
      <protection locked="0"/>
    </xf>
    <xf numFmtId="3" fontId="0" fillId="2" borderId="0" xfId="0" applyNumberFormat="1" applyFill="1" applyAlignment="1" applyProtection="1">
      <alignment vertical="center"/>
      <protection locked="0"/>
    </xf>
    <xf numFmtId="4" fontId="0" fillId="2" borderId="31" xfId="0" applyNumberFormat="1" applyFill="1" applyBorder="1" applyAlignment="1" applyProtection="1">
      <alignment vertical="center"/>
      <protection locked="0"/>
    </xf>
    <xf numFmtId="0" fontId="1" fillId="2" borderId="32" xfId="0" applyFont="1" applyFill="1" applyBorder="1" applyAlignment="1">
      <alignment vertical="center"/>
    </xf>
    <xf numFmtId="3" fontId="0" fillId="2" borderId="9" xfId="0" applyNumberFormat="1" applyFill="1" applyBorder="1" applyAlignment="1" applyProtection="1">
      <alignment vertical="center"/>
      <protection locked="0"/>
    </xf>
    <xf numFmtId="3" fontId="0" fillId="2" borderId="32" xfId="0" applyNumberFormat="1" applyFill="1" applyBorder="1" applyAlignment="1">
      <alignment vertical="center"/>
    </xf>
    <xf numFmtId="3" fontId="1" fillId="2" borderId="9" xfId="0" applyNumberFormat="1" applyFont="1" applyFill="1" applyBorder="1" applyAlignment="1">
      <alignment vertical="center"/>
    </xf>
    <xf numFmtId="0" fontId="1" fillId="2" borderId="31" xfId="0" applyFont="1" applyFill="1" applyBorder="1" applyAlignment="1" applyProtection="1">
      <alignment horizontal="left" vertical="center"/>
      <protection locked="0"/>
    </xf>
    <xf numFmtId="164" fontId="0" fillId="2" borderId="17" xfId="2" applyFont="1" applyFill="1" applyBorder="1" applyAlignment="1" applyProtection="1">
      <alignment horizontal="right" vertical="center"/>
      <protection locked="0"/>
    </xf>
    <xf numFmtId="4" fontId="0" fillId="2" borderId="9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4" fontId="0" fillId="2" borderId="17" xfId="0" applyNumberFormat="1" applyFill="1" applyBorder="1" applyAlignment="1" applyProtection="1">
      <alignment horizontal="right" vertical="center"/>
      <protection locked="0"/>
    </xf>
    <xf numFmtId="3" fontId="0" fillId="2" borderId="30" xfId="0" applyNumberFormat="1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3" fontId="0" fillId="2" borderId="18" xfId="0" applyNumberFormat="1" applyFill="1" applyBorder="1" applyAlignment="1" applyProtection="1">
      <alignment vertical="center"/>
      <protection locked="0"/>
    </xf>
    <xf numFmtId="3" fontId="0" fillId="2" borderId="19" xfId="0" applyNumberFormat="1" applyFill="1" applyBorder="1" applyAlignment="1" applyProtection="1">
      <alignment vertical="center"/>
      <protection locked="0"/>
    </xf>
    <xf numFmtId="169" fontId="0" fillId="2" borderId="17" xfId="0" applyNumberFormat="1" applyFill="1" applyBorder="1" applyAlignment="1" applyProtection="1">
      <alignment vertical="center"/>
      <protection locked="0"/>
    </xf>
    <xf numFmtId="3" fontId="0" fillId="2" borderId="30" xfId="0" applyNumberFormat="1" applyFill="1" applyBorder="1" applyAlignment="1">
      <alignment vertical="center"/>
    </xf>
    <xf numFmtId="1" fontId="0" fillId="2" borderId="17" xfId="0" applyNumberFormat="1" applyFill="1" applyBorder="1" applyAlignment="1" applyProtection="1">
      <alignment vertical="center"/>
      <protection locked="0"/>
    </xf>
    <xf numFmtId="0" fontId="0" fillId="2" borderId="33" xfId="0" applyFill="1" applyBorder="1" applyAlignment="1" applyProtection="1">
      <alignment horizontal="right" vertical="center"/>
      <protection locked="0"/>
    </xf>
    <xf numFmtId="170" fontId="0" fillId="2" borderId="17" xfId="0" applyNumberFormat="1" applyFill="1" applyBorder="1" applyAlignment="1" applyProtection="1">
      <alignment vertical="center"/>
      <protection locked="0"/>
    </xf>
    <xf numFmtId="0" fontId="15" fillId="2" borderId="0" xfId="0" applyFont="1" applyFill="1" applyAlignment="1">
      <alignment vertical="center"/>
    </xf>
    <xf numFmtId="0" fontId="1" fillId="2" borderId="34" xfId="0" applyFont="1" applyFill="1" applyBorder="1" applyAlignment="1" applyProtection="1">
      <alignment horizontal="left" vertical="center"/>
      <protection locked="0"/>
    </xf>
    <xf numFmtId="0" fontId="15" fillId="2" borderId="23" xfId="0" applyFont="1" applyFill="1" applyBorder="1" applyAlignment="1">
      <alignment vertical="center"/>
    </xf>
    <xf numFmtId="3" fontId="15" fillId="2" borderId="31" xfId="0" applyNumberFormat="1" applyFont="1" applyFill="1" applyBorder="1" applyAlignment="1">
      <alignment vertical="center"/>
    </xf>
    <xf numFmtId="3" fontId="15" fillId="2" borderId="35" xfId="0" applyNumberFormat="1" applyFont="1" applyFill="1" applyBorder="1" applyAlignment="1">
      <alignment vertical="center"/>
    </xf>
    <xf numFmtId="3" fontId="15" fillId="2" borderId="8" xfId="0" applyNumberFormat="1" applyFont="1" applyFill="1" applyBorder="1" applyAlignment="1">
      <alignment vertical="center"/>
    </xf>
    <xf numFmtId="3" fontId="15" fillId="2" borderId="34" xfId="0" applyNumberFormat="1" applyFont="1" applyFill="1" applyBorder="1" applyAlignment="1" applyProtection="1">
      <alignment vertical="center"/>
      <protection locked="0"/>
    </xf>
    <xf numFmtId="3" fontId="15" fillId="2" borderId="23" xfId="0" applyNumberFormat="1" applyFont="1" applyFill="1" applyBorder="1" applyAlignment="1" applyProtection="1">
      <alignment vertical="center"/>
      <protection locked="0"/>
    </xf>
    <xf numFmtId="3" fontId="15" fillId="2" borderId="35" xfId="0" applyNumberFormat="1" applyFont="1" applyFill="1" applyBorder="1" applyAlignment="1" applyProtection="1">
      <alignment vertical="center"/>
      <protection locked="0"/>
    </xf>
    <xf numFmtId="3" fontId="15" fillId="2" borderId="9" xfId="0" applyNumberFormat="1" applyFont="1" applyFill="1" applyBorder="1" applyAlignment="1" applyProtection="1">
      <alignment vertical="center"/>
      <protection locked="0"/>
    </xf>
    <xf numFmtId="0" fontId="0" fillId="2" borderId="33" xfId="0" applyFill="1" applyBorder="1" applyAlignment="1">
      <alignment horizontal="right" vertical="center"/>
    </xf>
    <xf numFmtId="164" fontId="0" fillId="2" borderId="18" xfId="2" applyFont="1" applyFill="1" applyBorder="1" applyAlignment="1" applyProtection="1">
      <alignment horizontal="right" vertical="center"/>
      <protection locked="0"/>
    </xf>
    <xf numFmtId="3" fontId="1" fillId="2" borderId="32" xfId="0" applyNumberFormat="1" applyFont="1" applyFill="1" applyBorder="1" applyAlignment="1" applyProtection="1">
      <alignment vertical="center"/>
      <protection locked="0"/>
    </xf>
    <xf numFmtId="0" fontId="1" fillId="0" borderId="18" xfId="0" applyFont="1" applyBorder="1" applyAlignment="1" applyProtection="1">
      <alignment horizontal="left" vertical="center"/>
      <protection locked="0"/>
    </xf>
    <xf numFmtId="3" fontId="0" fillId="0" borderId="0" xfId="0" applyNumberFormat="1" applyAlignment="1">
      <alignment vertical="center"/>
    </xf>
    <xf numFmtId="164" fontId="0" fillId="2" borderId="34" xfId="2" applyFont="1" applyFill="1" applyBorder="1" applyAlignment="1" applyProtection="1">
      <alignment horizontal="right" vertical="center"/>
      <protection locked="0"/>
    </xf>
    <xf numFmtId="164" fontId="0" fillId="2" borderId="33" xfId="2" applyFont="1" applyFill="1" applyBorder="1" applyAlignment="1" applyProtection="1">
      <alignment horizontal="right" vertical="center"/>
      <protection locked="0"/>
    </xf>
    <xf numFmtId="0" fontId="1" fillId="2" borderId="9" xfId="0" applyFont="1" applyFill="1" applyBorder="1" applyAlignment="1" applyProtection="1">
      <alignment horizontal="left" vertical="center"/>
      <protection locked="0"/>
    </xf>
    <xf numFmtId="164" fontId="15" fillId="2" borderId="18" xfId="2" applyFont="1" applyFill="1" applyBorder="1" applyAlignment="1" applyProtection="1">
      <alignment horizontal="right" vertical="center"/>
      <protection locked="0"/>
    </xf>
    <xf numFmtId="3" fontId="15" fillId="2" borderId="19" xfId="0" applyNumberFormat="1" applyFont="1" applyFill="1" applyBorder="1" applyAlignment="1" applyProtection="1">
      <alignment vertical="center"/>
      <protection locked="0"/>
    </xf>
    <xf numFmtId="3" fontId="15" fillId="2" borderId="17" xfId="0" applyNumberFormat="1" applyFont="1" applyFill="1" applyBorder="1" applyAlignment="1" applyProtection="1">
      <alignment vertical="center"/>
      <protection locked="0"/>
    </xf>
    <xf numFmtId="3" fontId="15" fillId="2" borderId="18" xfId="0" applyNumberFormat="1" applyFont="1" applyFill="1" applyBorder="1" applyAlignment="1">
      <alignment vertical="center"/>
    </xf>
    <xf numFmtId="3" fontId="15" fillId="2" borderId="30" xfId="0" applyNumberFormat="1" applyFont="1" applyFill="1" applyBorder="1" applyAlignment="1">
      <alignment vertical="center"/>
    </xf>
    <xf numFmtId="3" fontId="14" fillId="2" borderId="32" xfId="0" applyNumberFormat="1" applyFont="1" applyFill="1" applyBorder="1" applyAlignment="1" applyProtection="1">
      <alignment vertical="center"/>
      <protection locked="0"/>
    </xf>
    <xf numFmtId="0" fontId="1" fillId="2" borderId="34" xfId="0" applyFont="1" applyFill="1" applyBorder="1" applyAlignment="1">
      <alignment horizontal="left" vertical="center"/>
    </xf>
    <xf numFmtId="3" fontId="15" fillId="2" borderId="18" xfId="0" applyNumberFormat="1" applyFont="1" applyFill="1" applyBorder="1" applyAlignment="1" applyProtection="1">
      <alignment vertical="center"/>
      <protection locked="0"/>
    </xf>
    <xf numFmtId="3" fontId="15" fillId="2" borderId="30" xfId="0" applyNumberFormat="1" applyFont="1" applyFill="1" applyBorder="1" applyAlignment="1" applyProtection="1">
      <alignment vertical="center"/>
      <protection locked="0"/>
    </xf>
    <xf numFmtId="3" fontId="15" fillId="2" borderId="32" xfId="0" applyNumberFormat="1" applyFont="1" applyFill="1" applyBorder="1" applyAlignment="1" applyProtection="1">
      <alignment vertical="center"/>
      <protection locked="0"/>
    </xf>
    <xf numFmtId="3" fontId="1" fillId="2" borderId="35" xfId="0" applyNumberFormat="1" applyFont="1" applyFill="1" applyBorder="1" applyAlignment="1" applyProtection="1">
      <alignment vertical="center"/>
      <protection locked="0"/>
    </xf>
    <xf numFmtId="3" fontId="15" fillId="2" borderId="9" xfId="0" applyNumberFormat="1" applyFont="1" applyFill="1" applyBorder="1" applyAlignment="1">
      <alignment vertical="center"/>
    </xf>
    <xf numFmtId="3" fontId="15" fillId="2" borderId="33" xfId="0" applyNumberFormat="1" applyFont="1" applyFill="1" applyBorder="1" applyAlignment="1" applyProtection="1">
      <alignment vertical="center"/>
      <protection locked="0"/>
    </xf>
    <xf numFmtId="3" fontId="15" fillId="2" borderId="0" xfId="0" applyNumberFormat="1" applyFont="1" applyFill="1" applyAlignment="1" applyProtection="1">
      <alignment vertical="center"/>
      <protection locked="0"/>
    </xf>
    <xf numFmtId="164" fontId="0" fillId="2" borderId="17" xfId="2" applyFont="1" applyFill="1" applyBorder="1" applyAlignment="1" applyProtection="1">
      <alignment horizontal="right" vertical="center"/>
      <protection hidden="1"/>
    </xf>
    <xf numFmtId="164" fontId="0" fillId="2" borderId="28" xfId="2" applyFont="1" applyFill="1" applyBorder="1" applyAlignment="1" applyProtection="1">
      <alignment horizontal="right" vertical="center"/>
      <protection locked="0"/>
    </xf>
    <xf numFmtId="0" fontId="1" fillId="2" borderId="28" xfId="0" applyFont="1" applyFill="1" applyBorder="1" applyAlignment="1" applyProtection="1">
      <alignment horizontal="left" vertical="center"/>
      <protection locked="0"/>
    </xf>
    <xf numFmtId="0" fontId="0" fillId="2" borderId="25" xfId="0" applyFill="1" applyBorder="1" applyAlignment="1" applyProtection="1">
      <alignment vertical="center"/>
      <protection locked="0"/>
    </xf>
    <xf numFmtId="164" fontId="0" fillId="2" borderId="25" xfId="2" applyFont="1" applyFill="1" applyBorder="1" applyAlignment="1" applyProtection="1">
      <alignment horizontal="right" vertical="center"/>
      <protection locked="0"/>
    </xf>
    <xf numFmtId="0" fontId="1" fillId="2" borderId="25" xfId="0" applyFont="1" applyFill="1" applyBorder="1" applyAlignment="1">
      <alignment vertical="center"/>
    </xf>
    <xf numFmtId="4" fontId="8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171" fontId="26" fillId="2" borderId="0" xfId="0" applyNumberFormat="1" applyFont="1" applyFill="1" applyAlignment="1">
      <alignment horizontal="center" vertical="center"/>
    </xf>
    <xf numFmtId="171" fontId="26" fillId="2" borderId="3" xfId="0" applyNumberFormat="1" applyFont="1" applyFill="1" applyBorder="1" applyAlignment="1">
      <alignment horizontal="center" vertical="center"/>
    </xf>
    <xf numFmtId="171" fontId="26" fillId="2" borderId="8" xfId="0" applyNumberFormat="1" applyFont="1" applyFill="1" applyBorder="1" applyAlignment="1">
      <alignment horizontal="center" vertical="center"/>
    </xf>
    <xf numFmtId="171" fontId="27" fillId="2" borderId="8" xfId="0" applyNumberFormat="1" applyFont="1" applyFill="1" applyBorder="1" applyAlignment="1">
      <alignment horizontal="center" vertical="center"/>
    </xf>
    <xf numFmtId="171" fontId="28" fillId="2" borderId="8" xfId="0" applyNumberFormat="1" applyFont="1" applyFill="1" applyBorder="1" applyAlignment="1">
      <alignment horizontal="center" vertical="center"/>
    </xf>
    <xf numFmtId="171" fontId="26" fillId="2" borderId="26" xfId="0" applyNumberFormat="1" applyFont="1" applyFill="1" applyBorder="1" applyAlignment="1">
      <alignment horizontal="center" vertical="center"/>
    </xf>
    <xf numFmtId="171" fontId="29" fillId="2" borderId="8" xfId="0" applyNumberFormat="1" applyFont="1" applyFill="1" applyBorder="1" applyAlignment="1" applyProtection="1">
      <alignment horizontal="center" vertical="center"/>
      <protection locked="0"/>
    </xf>
    <xf numFmtId="171" fontId="26" fillId="0" borderId="0" xfId="0" applyNumberFormat="1" applyFont="1" applyAlignment="1">
      <alignment horizontal="center" vertical="center"/>
    </xf>
    <xf numFmtId="0" fontId="0" fillId="0" borderId="4" xfId="0" applyBorder="1" applyAlignment="1">
      <alignment vertical="center"/>
    </xf>
    <xf numFmtId="0" fontId="26" fillId="0" borderId="0" xfId="0" applyFont="1" applyAlignment="1" applyProtection="1">
      <alignment horizontal="left" vertical="center"/>
      <protection locked="0"/>
    </xf>
    <xf numFmtId="164" fontId="26" fillId="0" borderId="0" xfId="2" applyFont="1" applyFill="1" applyBorder="1" applyAlignment="1" applyProtection="1">
      <alignment horizontal="right" vertical="center"/>
      <protection locked="0"/>
    </xf>
    <xf numFmtId="0" fontId="26" fillId="0" borderId="0" xfId="0" applyFont="1" applyAlignment="1" applyProtection="1">
      <alignment vertical="center"/>
      <protection locked="0"/>
    </xf>
    <xf numFmtId="0" fontId="31" fillId="0" borderId="0" xfId="0" applyFont="1" applyAlignment="1" applyProtection="1">
      <alignment vertical="center"/>
      <protection locked="0"/>
    </xf>
    <xf numFmtId="4" fontId="31" fillId="0" borderId="0" xfId="0" applyNumberFormat="1" applyFont="1" applyAlignment="1" applyProtection="1">
      <alignment vertical="center"/>
      <protection locked="0"/>
    </xf>
    <xf numFmtId="4" fontId="31" fillId="0" borderId="0" xfId="0" applyNumberFormat="1" applyFont="1" applyAlignment="1">
      <alignment horizontal="center" vertical="center"/>
    </xf>
    <xf numFmtId="4" fontId="30" fillId="0" borderId="0" xfId="0" applyNumberFormat="1" applyFont="1" applyAlignment="1">
      <alignment vertical="center"/>
    </xf>
    <xf numFmtId="171" fontId="32" fillId="0" borderId="0" xfId="0" applyNumberFormat="1" applyFont="1" applyAlignment="1" applyProtection="1">
      <alignment horizontal="center" vertical="center"/>
      <protection hidden="1"/>
    </xf>
    <xf numFmtId="3" fontId="1" fillId="0" borderId="0" xfId="0" applyNumberFormat="1" applyFont="1" applyAlignment="1">
      <alignment vertical="center"/>
    </xf>
    <xf numFmtId="0" fontId="0" fillId="0" borderId="8" xfId="0" applyBorder="1" applyAlignment="1">
      <alignment vertical="center"/>
    </xf>
    <xf numFmtId="0" fontId="4" fillId="4" borderId="39" xfId="0" applyFont="1" applyFill="1" applyBorder="1" applyAlignment="1">
      <alignment horizontal="center" vertical="center"/>
    </xf>
    <xf numFmtId="4" fontId="1" fillId="2" borderId="0" xfId="0" applyNumberFormat="1" applyFont="1" applyFill="1" applyAlignment="1">
      <alignment vertical="center"/>
    </xf>
    <xf numFmtId="0" fontId="1" fillId="0" borderId="34" xfId="0" applyFont="1" applyBorder="1" applyAlignment="1" applyProtection="1">
      <alignment horizontal="left" vertical="center"/>
      <protection locked="0"/>
    </xf>
    <xf numFmtId="0" fontId="33" fillId="0" borderId="0" xfId="0" applyFont="1" applyAlignment="1">
      <alignment horizontal="left" vertical="top"/>
    </xf>
    <xf numFmtId="0" fontId="0" fillId="0" borderId="0" xfId="0" applyAlignment="1">
      <alignment horizontal="center"/>
    </xf>
    <xf numFmtId="0" fontId="12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21" fillId="2" borderId="0" xfId="0" applyFont="1" applyFill="1" applyAlignment="1">
      <alignment vertical="center"/>
    </xf>
    <xf numFmtId="0" fontId="33" fillId="0" borderId="0" xfId="0" applyFont="1" applyAlignment="1">
      <alignment horizontal="center" vertical="top"/>
    </xf>
    <xf numFmtId="17" fontId="33" fillId="0" borderId="0" xfId="0" applyNumberFormat="1" applyFont="1" applyAlignment="1">
      <alignment horizontal="center" vertical="top"/>
    </xf>
    <xf numFmtId="3" fontId="8" fillId="0" borderId="17" xfId="0" applyNumberFormat="1" applyFont="1" applyBorder="1" applyAlignment="1" applyProtection="1">
      <alignment horizontal="center" vertical="center"/>
      <protection hidden="1"/>
    </xf>
    <xf numFmtId="3" fontId="34" fillId="2" borderId="17" xfId="0" applyNumberFormat="1" applyFont="1" applyFill="1" applyBorder="1" applyAlignment="1" applyProtection="1">
      <alignment vertical="center"/>
      <protection locked="0"/>
    </xf>
    <xf numFmtId="3" fontId="34" fillId="2" borderId="32" xfId="0" applyNumberFormat="1" applyFont="1" applyFill="1" applyBorder="1" applyAlignment="1">
      <alignment vertical="center"/>
    </xf>
    <xf numFmtId="3" fontId="34" fillId="2" borderId="17" xfId="0" applyNumberFormat="1" applyFont="1" applyFill="1" applyBorder="1" applyAlignment="1">
      <alignment vertical="center"/>
    </xf>
    <xf numFmtId="0" fontId="34" fillId="2" borderId="0" xfId="0" applyFont="1" applyFill="1" applyAlignment="1">
      <alignment vertical="center"/>
    </xf>
    <xf numFmtId="3" fontId="8" fillId="5" borderId="41" xfId="0" applyNumberFormat="1" applyFont="1" applyFill="1" applyBorder="1" applyAlignment="1" applyProtection="1">
      <alignment horizontal="right" vertical="center"/>
      <protection hidden="1"/>
    </xf>
    <xf numFmtId="167" fontId="3" fillId="6" borderId="21" xfId="0" applyNumberFormat="1" applyFont="1" applyFill="1" applyBorder="1" applyAlignment="1">
      <alignment horizontal="center" vertical="center"/>
    </xf>
    <xf numFmtId="0" fontId="1" fillId="0" borderId="27" xfId="0" applyFont="1" applyBorder="1" applyAlignment="1" applyProtection="1">
      <alignment horizontal="left" vertical="center"/>
      <protection locked="0"/>
    </xf>
    <xf numFmtId="171" fontId="0" fillId="2" borderId="8" xfId="0" applyNumberFormat="1" applyFill="1" applyBorder="1" applyAlignment="1">
      <alignment horizontal="center" vertical="center"/>
    </xf>
    <xf numFmtId="171" fontId="34" fillId="2" borderId="8" xfId="0" applyNumberFormat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vertical="center"/>
    </xf>
    <xf numFmtId="3" fontId="34" fillId="2" borderId="9" xfId="0" applyNumberFormat="1" applyFont="1" applyFill="1" applyBorder="1" applyAlignment="1" applyProtection="1">
      <alignment vertical="center"/>
      <protection locked="0"/>
    </xf>
    <xf numFmtId="3" fontId="36" fillId="2" borderId="9" xfId="0" applyNumberFormat="1" applyFont="1" applyFill="1" applyBorder="1" applyAlignment="1">
      <alignment vertical="center"/>
    </xf>
    <xf numFmtId="0" fontId="34" fillId="2" borderId="8" xfId="0" applyFont="1" applyFill="1" applyBorder="1" applyAlignment="1">
      <alignment vertical="center"/>
    </xf>
    <xf numFmtId="0" fontId="35" fillId="2" borderId="0" xfId="0" applyFont="1" applyFill="1" applyAlignment="1">
      <alignment vertical="center"/>
    </xf>
    <xf numFmtId="3" fontId="34" fillId="2" borderId="4" xfId="0" applyNumberFormat="1" applyFont="1" applyFill="1" applyBorder="1" applyAlignment="1">
      <alignment vertical="center"/>
    </xf>
    <xf numFmtId="3" fontId="34" fillId="2" borderId="30" xfId="0" applyNumberFormat="1" applyFont="1" applyFill="1" applyBorder="1" applyAlignment="1" applyProtection="1">
      <alignment vertical="center"/>
      <protection locked="0"/>
    </xf>
    <xf numFmtId="3" fontId="36" fillId="2" borderId="9" xfId="0" applyNumberFormat="1" applyFont="1" applyFill="1" applyBorder="1" applyAlignment="1" applyProtection="1">
      <alignment vertical="center"/>
      <protection locked="0"/>
    </xf>
    <xf numFmtId="3" fontId="34" fillId="2" borderId="8" xfId="0" applyNumberFormat="1" applyFont="1" applyFill="1" applyBorder="1" applyAlignment="1">
      <alignment vertical="center"/>
    </xf>
    <xf numFmtId="3" fontId="34" fillId="2" borderId="18" xfId="0" applyNumberFormat="1" applyFont="1" applyFill="1" applyBorder="1" applyAlignment="1" applyProtection="1">
      <alignment vertical="center"/>
      <protection locked="0"/>
    </xf>
    <xf numFmtId="3" fontId="34" fillId="2" borderId="19" xfId="0" applyNumberFormat="1" applyFont="1" applyFill="1" applyBorder="1" applyAlignment="1" applyProtection="1">
      <alignment vertical="center"/>
      <protection locked="0"/>
    </xf>
    <xf numFmtId="3" fontId="34" fillId="2" borderId="30" xfId="0" applyNumberFormat="1" applyFont="1" applyFill="1" applyBorder="1" applyAlignment="1">
      <alignment vertical="center"/>
    </xf>
    <xf numFmtId="0" fontId="34" fillId="2" borderId="33" xfId="0" applyFont="1" applyFill="1" applyBorder="1" applyAlignment="1" applyProtection="1">
      <alignment horizontal="right" vertical="center"/>
      <protection locked="0"/>
    </xf>
    <xf numFmtId="0" fontId="37" fillId="2" borderId="31" xfId="0" applyFont="1" applyFill="1" applyBorder="1" applyAlignment="1" applyProtection="1">
      <alignment horizontal="left" vertical="center"/>
      <protection locked="0"/>
    </xf>
    <xf numFmtId="171" fontId="26" fillId="0" borderId="8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 applyProtection="1">
      <alignment vertical="center"/>
      <protection locked="0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8" fillId="5" borderId="41" xfId="0" applyNumberFormat="1" applyFont="1" applyFill="1" applyBorder="1" applyAlignment="1" applyProtection="1">
      <alignment horizontal="center" vertical="center"/>
      <protection hidden="1"/>
    </xf>
    <xf numFmtId="3" fontId="0" fillId="2" borderId="20" xfId="0" applyNumberFormat="1" applyFill="1" applyBorder="1" applyAlignment="1">
      <alignment horizontal="center" vertical="center"/>
    </xf>
    <xf numFmtId="3" fontId="0" fillId="2" borderId="22" xfId="0" applyNumberFormat="1" applyFill="1" applyBorder="1" applyAlignment="1">
      <alignment horizontal="center" vertical="center"/>
    </xf>
    <xf numFmtId="3" fontId="8" fillId="2" borderId="10" xfId="0" applyNumberFormat="1" applyFont="1" applyFill="1" applyBorder="1" applyAlignment="1" applyProtection="1">
      <alignment horizontal="center" vertical="center"/>
      <protection hidden="1"/>
    </xf>
    <xf numFmtId="3" fontId="8" fillId="2" borderId="13" xfId="0" applyNumberFormat="1" applyFont="1" applyFill="1" applyBorder="1" applyAlignment="1" applyProtection="1">
      <alignment horizontal="center" vertical="center"/>
      <protection hidden="1"/>
    </xf>
    <xf numFmtId="0" fontId="38" fillId="2" borderId="0" xfId="0" applyFont="1" applyFill="1" applyAlignment="1">
      <alignment horizontal="center" vertical="center"/>
    </xf>
    <xf numFmtId="0" fontId="0" fillId="2" borderId="43" xfId="0" applyFill="1" applyBorder="1" applyAlignment="1">
      <alignment vertical="center"/>
    </xf>
    <xf numFmtId="0" fontId="1" fillId="2" borderId="44" xfId="0" applyFont="1" applyFill="1" applyBorder="1" applyAlignment="1">
      <alignment horizontal="center" vertical="center"/>
    </xf>
    <xf numFmtId="0" fontId="0" fillId="2" borderId="44" xfId="0" applyFill="1" applyBorder="1" applyAlignment="1" applyProtection="1">
      <alignment vertical="center"/>
      <protection locked="0"/>
    </xf>
    <xf numFmtId="164" fontId="0" fillId="2" borderId="44" xfId="2" applyFont="1" applyFill="1" applyBorder="1" applyAlignment="1" applyProtection="1">
      <alignment horizontal="right" vertical="center"/>
      <protection locked="0"/>
    </xf>
    <xf numFmtId="0" fontId="1" fillId="2" borderId="44" xfId="0" applyFont="1" applyFill="1" applyBorder="1" applyAlignment="1">
      <alignment vertical="center"/>
    </xf>
    <xf numFmtId="0" fontId="0" fillId="2" borderId="44" xfId="0" applyFill="1" applyBorder="1" applyAlignment="1">
      <alignment horizontal="center" vertical="center"/>
    </xf>
    <xf numFmtId="0" fontId="0" fillId="2" borderId="44" xfId="0" applyFill="1" applyBorder="1" applyAlignment="1">
      <alignment vertical="center"/>
    </xf>
    <xf numFmtId="0" fontId="0" fillId="2" borderId="45" xfId="0" applyFill="1" applyBorder="1" applyAlignment="1">
      <alignment vertical="center"/>
    </xf>
    <xf numFmtId="0" fontId="0" fillId="2" borderId="46" xfId="0" applyFill="1" applyBorder="1" applyAlignment="1">
      <alignment vertical="center"/>
    </xf>
    <xf numFmtId="0" fontId="0" fillId="2" borderId="47" xfId="0" applyFill="1" applyBorder="1" applyAlignment="1">
      <alignment vertical="center"/>
    </xf>
    <xf numFmtId="0" fontId="7" fillId="2" borderId="46" xfId="0" applyFont="1" applyFill="1" applyBorder="1" applyAlignment="1">
      <alignment vertical="center"/>
    </xf>
    <xf numFmtId="0" fontId="5" fillId="2" borderId="47" xfId="0" applyFont="1" applyFill="1" applyBorder="1" applyAlignment="1">
      <alignment vertical="center"/>
    </xf>
    <xf numFmtId="3" fontId="3" fillId="2" borderId="46" xfId="0" applyNumberFormat="1" applyFont="1" applyFill="1" applyBorder="1" applyAlignment="1">
      <alignment vertical="center"/>
    </xf>
    <xf numFmtId="3" fontId="3" fillId="2" borderId="47" xfId="0" applyNumberFormat="1" applyFont="1" applyFill="1" applyBorder="1" applyAlignment="1">
      <alignment vertical="center"/>
    </xf>
    <xf numFmtId="3" fontId="0" fillId="2" borderId="46" xfId="0" applyNumberFormat="1" applyFill="1" applyBorder="1" applyAlignment="1">
      <alignment vertical="center"/>
    </xf>
    <xf numFmtId="3" fontId="0" fillId="2" borderId="47" xfId="0" applyNumberFormat="1" applyFill="1" applyBorder="1" applyAlignment="1">
      <alignment vertical="center"/>
    </xf>
    <xf numFmtId="3" fontId="8" fillId="2" borderId="47" xfId="0" applyNumberFormat="1" applyFont="1" applyFill="1" applyBorder="1" applyAlignment="1">
      <alignment vertical="center"/>
    </xf>
    <xf numFmtId="0" fontId="0" fillId="2" borderId="48" xfId="0" applyFill="1" applyBorder="1" applyAlignment="1">
      <alignment vertical="center"/>
    </xf>
    <xf numFmtId="0" fontId="1" fillId="2" borderId="49" xfId="0" applyFont="1" applyFill="1" applyBorder="1" applyAlignment="1">
      <alignment horizontal="center" vertical="center"/>
    </xf>
    <xf numFmtId="0" fontId="0" fillId="2" borderId="49" xfId="0" applyFill="1" applyBorder="1" applyAlignment="1" applyProtection="1">
      <alignment vertical="center"/>
      <protection locked="0"/>
    </xf>
    <xf numFmtId="164" fontId="0" fillId="2" borderId="49" xfId="2" applyFont="1" applyFill="1" applyBorder="1" applyAlignment="1" applyProtection="1">
      <alignment horizontal="right" vertical="center"/>
      <protection locked="0"/>
    </xf>
    <xf numFmtId="0" fontId="1" fillId="2" borderId="49" xfId="0" applyFont="1" applyFill="1" applyBorder="1" applyAlignment="1">
      <alignment vertical="center"/>
    </xf>
    <xf numFmtId="0" fontId="0" fillId="2" borderId="49" xfId="0" applyFill="1" applyBorder="1" applyAlignment="1">
      <alignment horizontal="center" vertical="center"/>
    </xf>
    <xf numFmtId="0" fontId="0" fillId="2" borderId="49" xfId="0" applyFill="1" applyBorder="1" applyAlignment="1">
      <alignment vertical="center"/>
    </xf>
    <xf numFmtId="0" fontId="0" fillId="2" borderId="50" xfId="0" applyFill="1" applyBorder="1" applyAlignment="1">
      <alignment vertical="center"/>
    </xf>
    <xf numFmtId="0" fontId="5" fillId="2" borderId="46" xfId="0" applyFont="1" applyFill="1" applyBorder="1" applyAlignment="1">
      <alignment vertical="center"/>
    </xf>
    <xf numFmtId="3" fontId="8" fillId="2" borderId="46" xfId="0" applyNumberFormat="1" applyFont="1" applyFill="1" applyBorder="1" applyAlignment="1">
      <alignment vertical="center"/>
    </xf>
    <xf numFmtId="171" fontId="26" fillId="2" borderId="45" xfId="0" applyNumberFormat="1" applyFont="1" applyFill="1" applyBorder="1" applyAlignment="1">
      <alignment horizontal="center" vertical="center"/>
    </xf>
    <xf numFmtId="171" fontId="26" fillId="2" borderId="47" xfId="0" applyNumberFormat="1" applyFont="1" applyFill="1" applyBorder="1" applyAlignment="1">
      <alignment horizontal="center" vertical="center"/>
    </xf>
    <xf numFmtId="171" fontId="27" fillId="2" borderId="47" xfId="0" applyNumberFormat="1" applyFont="1" applyFill="1" applyBorder="1" applyAlignment="1">
      <alignment horizontal="center" vertical="center"/>
    </xf>
    <xf numFmtId="171" fontId="39" fillId="2" borderId="47" xfId="0" applyNumberFormat="1" applyFont="1" applyFill="1" applyBorder="1" applyAlignment="1" applyProtection="1">
      <alignment horizontal="center" vertical="center"/>
      <protection hidden="1"/>
    </xf>
    <xf numFmtId="171" fontId="39" fillId="2" borderId="47" xfId="0" applyNumberFormat="1" applyFont="1" applyFill="1" applyBorder="1" applyAlignment="1">
      <alignment horizontal="center" vertical="center"/>
    </xf>
    <xf numFmtId="171" fontId="28" fillId="2" borderId="47" xfId="0" applyNumberFormat="1" applyFont="1" applyFill="1" applyBorder="1" applyAlignment="1">
      <alignment horizontal="center" vertical="center"/>
    </xf>
    <xf numFmtId="171" fontId="26" fillId="2" borderId="50" xfId="0" applyNumberFormat="1" applyFont="1" applyFill="1" applyBorder="1" applyAlignment="1">
      <alignment horizontal="center" vertical="center"/>
    </xf>
    <xf numFmtId="3" fontId="0" fillId="2" borderId="51" xfId="0" applyNumberFormat="1" applyFill="1" applyBorder="1" applyAlignment="1">
      <alignment horizontal="center" vertical="center"/>
    </xf>
    <xf numFmtId="3" fontId="8" fillId="2" borderId="52" xfId="0" applyNumberFormat="1" applyFont="1" applyFill="1" applyBorder="1" applyAlignment="1" applyProtection="1">
      <alignment horizontal="center" vertical="center"/>
      <protection hidden="1"/>
    </xf>
    <xf numFmtId="3" fontId="8" fillId="2" borderId="52" xfId="0" applyNumberFormat="1" applyFont="1" applyFill="1" applyBorder="1" applyAlignment="1" applyProtection="1">
      <alignment horizontal="right" vertical="center"/>
      <protection hidden="1"/>
    </xf>
    <xf numFmtId="3" fontId="8" fillId="2" borderId="28" xfId="0" applyNumberFormat="1" applyFont="1" applyFill="1" applyBorder="1" applyAlignment="1" applyProtection="1">
      <alignment horizontal="right" vertical="center"/>
      <protection hidden="1"/>
    </xf>
    <xf numFmtId="164" fontId="18" fillId="2" borderId="17" xfId="2" applyFill="1" applyBorder="1" applyAlignment="1" applyProtection="1">
      <alignment horizontal="right" vertical="center"/>
      <protection locked="0"/>
    </xf>
    <xf numFmtId="0" fontId="40" fillId="2" borderId="9" xfId="0" applyFont="1" applyFill="1" applyBorder="1" applyAlignment="1">
      <alignment horizontal="right" vertical="center"/>
    </xf>
    <xf numFmtId="164" fontId="39" fillId="4" borderId="19" xfId="2" applyFont="1" applyFill="1" applyBorder="1" applyAlignment="1" applyProtection="1">
      <alignment horizontal="right" vertical="center"/>
      <protection hidden="1"/>
    </xf>
    <xf numFmtId="164" fontId="8" fillId="2" borderId="31" xfId="2" applyFont="1" applyFill="1" applyBorder="1" applyAlignment="1" applyProtection="1">
      <alignment horizontal="right" vertical="center"/>
      <protection hidden="1"/>
    </xf>
    <xf numFmtId="4" fontId="8" fillId="2" borderId="31" xfId="0" applyNumberFormat="1" applyFont="1" applyFill="1" applyBorder="1" applyAlignment="1" applyProtection="1">
      <alignment horizontal="center" vertical="center"/>
      <protection hidden="1"/>
    </xf>
    <xf numFmtId="0" fontId="1" fillId="2" borderId="53" xfId="0" applyFont="1" applyFill="1" applyBorder="1" applyAlignment="1" applyProtection="1">
      <alignment horizontal="left" vertical="center"/>
      <protection locked="0"/>
    </xf>
    <xf numFmtId="0" fontId="15" fillId="2" borderId="54" xfId="0" applyFont="1" applyFill="1" applyBorder="1" applyAlignment="1">
      <alignment vertical="center"/>
    </xf>
    <xf numFmtId="0" fontId="1" fillId="2" borderId="34" xfId="0" applyFont="1" applyFill="1" applyBorder="1" applyAlignment="1" applyProtection="1">
      <alignment vertical="center"/>
      <protection locked="0"/>
    </xf>
    <xf numFmtId="0" fontId="17" fillId="2" borderId="9" xfId="0" applyFont="1" applyFill="1" applyBorder="1" applyAlignment="1">
      <alignment horizontal="left" vertical="center"/>
    </xf>
    <xf numFmtId="3" fontId="18" fillId="2" borderId="17" xfId="0" applyNumberFormat="1" applyFont="1" applyFill="1" applyBorder="1" applyAlignment="1" applyProtection="1">
      <alignment vertical="center"/>
      <protection locked="0"/>
    </xf>
    <xf numFmtId="170" fontId="18" fillId="2" borderId="17" xfId="0" applyNumberFormat="1" applyFont="1" applyFill="1" applyBorder="1" applyAlignment="1" applyProtection="1">
      <alignment vertical="center"/>
      <protection locked="0"/>
    </xf>
    <xf numFmtId="0" fontId="8" fillId="4" borderId="55" xfId="0" applyFont="1" applyFill="1" applyBorder="1" applyAlignment="1">
      <alignment vertical="center"/>
    </xf>
    <xf numFmtId="0" fontId="0" fillId="0" borderId="32" xfId="0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 applyAlignment="1">
      <alignment horizontal="center" vertical="center"/>
    </xf>
    <xf numFmtId="4" fontId="5" fillId="2" borderId="0" xfId="0" applyNumberFormat="1" applyFont="1" applyFill="1" applyAlignment="1" applyProtection="1">
      <alignment horizontal="center" vertical="center"/>
      <protection hidden="1"/>
    </xf>
    <xf numFmtId="4" fontId="8" fillId="2" borderId="0" xfId="0" applyNumberFormat="1" applyFont="1" applyFill="1" applyAlignment="1" applyProtection="1">
      <alignment horizontal="center" vertical="center"/>
      <protection hidden="1"/>
    </xf>
    <xf numFmtId="3" fontId="34" fillId="2" borderId="0" xfId="0" applyNumberFormat="1" applyFont="1" applyFill="1" applyAlignment="1">
      <alignment vertical="center"/>
    </xf>
    <xf numFmtId="0" fontId="1" fillId="0" borderId="17" xfId="0" applyFont="1" applyBorder="1" applyAlignment="1" applyProtection="1">
      <alignment horizontal="left" vertical="center"/>
      <protection locked="0"/>
    </xf>
    <xf numFmtId="1" fontId="0" fillId="0" borderId="17" xfId="2" applyNumberFormat="1" applyFont="1" applyFill="1" applyBorder="1" applyAlignment="1" applyProtection="1">
      <alignment horizontal="right" vertical="center"/>
      <protection locked="0"/>
    </xf>
    <xf numFmtId="3" fontId="0" fillId="0" borderId="17" xfId="2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3" fontId="0" fillId="2" borderId="4" xfId="0" applyNumberFormat="1" applyFill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" fontId="1" fillId="2" borderId="4" xfId="0" applyNumberFormat="1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41" fillId="2" borderId="0" xfId="0" applyNumberFormat="1" applyFont="1" applyFill="1" applyAlignment="1">
      <alignment vertical="center"/>
    </xf>
    <xf numFmtId="171" fontId="41" fillId="2" borderId="8" xfId="0" applyNumberFormat="1" applyFont="1" applyFill="1" applyBorder="1" applyAlignment="1">
      <alignment horizontal="center" vertical="center"/>
    </xf>
    <xf numFmtId="3" fontId="41" fillId="2" borderId="9" xfId="0" applyNumberFormat="1" applyFont="1" applyFill="1" applyBorder="1" applyAlignment="1" applyProtection="1">
      <alignment vertical="center"/>
      <protection locked="0"/>
    </xf>
    <xf numFmtId="3" fontId="41" fillId="2" borderId="32" xfId="0" applyNumberFormat="1" applyFont="1" applyFill="1" applyBorder="1" applyAlignment="1">
      <alignment vertical="center"/>
    </xf>
    <xf numFmtId="3" fontId="42" fillId="2" borderId="9" xfId="0" applyNumberFormat="1" applyFont="1" applyFill="1" applyBorder="1" applyAlignment="1">
      <alignment vertical="center"/>
    </xf>
    <xf numFmtId="0" fontId="43" fillId="2" borderId="0" xfId="0" applyFont="1" applyFill="1" applyAlignment="1">
      <alignment vertical="center"/>
    </xf>
    <xf numFmtId="0" fontId="41" fillId="2" borderId="0" xfId="0" applyFont="1" applyFill="1" applyAlignment="1">
      <alignment vertical="center"/>
    </xf>
    <xf numFmtId="3" fontId="41" fillId="2" borderId="4" xfId="0" applyNumberFormat="1" applyFont="1" applyFill="1" applyBorder="1" applyAlignment="1">
      <alignment vertical="center"/>
    </xf>
    <xf numFmtId="3" fontId="41" fillId="2" borderId="8" xfId="0" applyNumberFormat="1" applyFont="1" applyFill="1" applyBorder="1" applyAlignment="1">
      <alignment vertical="center"/>
    </xf>
    <xf numFmtId="0" fontId="41" fillId="2" borderId="33" xfId="0" applyFont="1" applyFill="1" applyBorder="1" applyAlignment="1" applyProtection="1">
      <alignment horizontal="right" vertical="center"/>
      <protection locked="0"/>
    </xf>
    <xf numFmtId="3" fontId="46" fillId="2" borderId="0" xfId="0" applyNumberFormat="1" applyFont="1" applyFill="1" applyAlignment="1">
      <alignment vertical="center"/>
    </xf>
    <xf numFmtId="171" fontId="46" fillId="2" borderId="8" xfId="0" applyNumberFormat="1" applyFont="1" applyFill="1" applyBorder="1" applyAlignment="1">
      <alignment horizontal="center" vertical="center"/>
    </xf>
    <xf numFmtId="0" fontId="46" fillId="2" borderId="4" xfId="0" applyFont="1" applyFill="1" applyBorder="1" applyAlignment="1">
      <alignment vertical="center"/>
    </xf>
    <xf numFmtId="3" fontId="46" fillId="2" borderId="9" xfId="0" applyNumberFormat="1" applyFont="1" applyFill="1" applyBorder="1" applyAlignment="1" applyProtection="1">
      <alignment vertical="center"/>
      <protection locked="0"/>
    </xf>
    <xf numFmtId="3" fontId="46" fillId="2" borderId="32" xfId="0" applyNumberFormat="1" applyFont="1" applyFill="1" applyBorder="1" applyAlignment="1">
      <alignment vertical="center"/>
    </xf>
    <xf numFmtId="3" fontId="44" fillId="2" borderId="9" xfId="0" applyNumberFormat="1" applyFont="1" applyFill="1" applyBorder="1" applyAlignment="1">
      <alignment vertical="center"/>
    </xf>
    <xf numFmtId="0" fontId="46" fillId="2" borderId="8" xfId="0" applyFont="1" applyFill="1" applyBorder="1" applyAlignment="1">
      <alignment vertical="center"/>
    </xf>
    <xf numFmtId="0" fontId="45" fillId="2" borderId="0" xfId="0" applyFont="1" applyFill="1" applyAlignment="1">
      <alignment vertical="center"/>
    </xf>
    <xf numFmtId="0" fontId="46" fillId="2" borderId="0" xfId="0" applyFont="1" applyFill="1" applyAlignment="1">
      <alignment vertical="center"/>
    </xf>
    <xf numFmtId="3" fontId="46" fillId="2" borderId="17" xfId="0" applyNumberFormat="1" applyFont="1" applyFill="1" applyBorder="1" applyAlignment="1" applyProtection="1">
      <alignment vertical="center"/>
      <protection locked="0"/>
    </xf>
    <xf numFmtId="3" fontId="46" fillId="2" borderId="4" xfId="0" applyNumberFormat="1" applyFont="1" applyFill="1" applyBorder="1" applyAlignment="1">
      <alignment vertical="center"/>
    </xf>
    <xf numFmtId="3" fontId="46" fillId="2" borderId="30" xfId="0" applyNumberFormat="1" applyFont="1" applyFill="1" applyBorder="1" applyAlignment="1" applyProtection="1">
      <alignment vertical="center"/>
      <protection locked="0"/>
    </xf>
    <xf numFmtId="3" fontId="44" fillId="2" borderId="9" xfId="0" applyNumberFormat="1" applyFont="1" applyFill="1" applyBorder="1" applyAlignment="1" applyProtection="1">
      <alignment vertical="center"/>
      <protection locked="0"/>
    </xf>
    <xf numFmtId="3" fontId="46" fillId="2" borderId="8" xfId="0" applyNumberFormat="1" applyFont="1" applyFill="1" applyBorder="1" applyAlignment="1">
      <alignment vertical="center"/>
    </xf>
    <xf numFmtId="3" fontId="46" fillId="2" borderId="18" xfId="0" applyNumberFormat="1" applyFont="1" applyFill="1" applyBorder="1" applyAlignment="1" applyProtection="1">
      <alignment vertical="center"/>
      <protection locked="0"/>
    </xf>
    <xf numFmtId="3" fontId="46" fillId="2" borderId="19" xfId="0" applyNumberFormat="1" applyFont="1" applyFill="1" applyBorder="1" applyAlignment="1" applyProtection="1">
      <alignment vertical="center"/>
      <protection locked="0"/>
    </xf>
    <xf numFmtId="3" fontId="46" fillId="2" borderId="30" xfId="0" applyNumberFormat="1" applyFont="1" applyFill="1" applyBorder="1" applyAlignment="1">
      <alignment vertical="center"/>
    </xf>
    <xf numFmtId="3" fontId="46" fillId="2" borderId="17" xfId="0" applyNumberFormat="1" applyFont="1" applyFill="1" applyBorder="1" applyAlignment="1">
      <alignment vertical="center"/>
    </xf>
    <xf numFmtId="8" fontId="33" fillId="0" borderId="0" xfId="0" applyNumberFormat="1" applyFont="1" applyAlignment="1">
      <alignment horizontal="center" vertical="top"/>
    </xf>
    <xf numFmtId="0" fontId="0" fillId="0" borderId="33" xfId="0" applyBorder="1" applyAlignment="1" applyProtection="1">
      <alignment horizontal="right" vertical="center"/>
      <protection locked="0"/>
    </xf>
    <xf numFmtId="3" fontId="8" fillId="2" borderId="65" xfId="0" applyNumberFormat="1" applyFont="1" applyFill="1" applyBorder="1" applyAlignment="1" applyProtection="1">
      <alignment horizontal="right" vertical="center"/>
      <protection hidden="1"/>
    </xf>
    <xf numFmtId="4" fontId="18" fillId="2" borderId="17" xfId="0" applyNumberFormat="1" applyFont="1" applyFill="1" applyBorder="1" applyAlignment="1" applyProtection="1">
      <alignment horizontal="right" vertical="center"/>
      <protection locked="0"/>
    </xf>
    <xf numFmtId="3" fontId="18" fillId="2" borderId="9" xfId="0" applyNumberFormat="1" applyFont="1" applyFill="1" applyBorder="1" applyAlignment="1">
      <alignment vertical="center"/>
    </xf>
    <xf numFmtId="3" fontId="18" fillId="2" borderId="32" xfId="0" applyNumberFormat="1" applyFont="1" applyFill="1" applyBorder="1" applyAlignment="1">
      <alignment vertical="center"/>
    </xf>
    <xf numFmtId="0" fontId="18" fillId="2" borderId="17" xfId="0" applyFont="1" applyFill="1" applyBorder="1" applyAlignment="1" applyProtection="1">
      <alignment vertical="center"/>
      <protection locked="0"/>
    </xf>
    <xf numFmtId="3" fontId="18" fillId="2" borderId="0" xfId="0" applyNumberFormat="1" applyFont="1" applyFill="1" applyAlignment="1" applyProtection="1">
      <alignment horizontal="right" vertical="center"/>
      <protection locked="0"/>
    </xf>
    <xf numFmtId="3" fontId="18" fillId="2" borderId="17" xfId="0" applyNumberFormat="1" applyFont="1" applyFill="1" applyBorder="1" applyAlignment="1" applyProtection="1">
      <alignment horizontal="right" vertical="center"/>
      <protection locked="0"/>
    </xf>
    <xf numFmtId="169" fontId="18" fillId="2" borderId="17" xfId="0" applyNumberFormat="1" applyFont="1" applyFill="1" applyBorder="1" applyAlignment="1" applyProtection="1">
      <alignment vertical="center"/>
      <protection locked="0"/>
    </xf>
    <xf numFmtId="3" fontId="18" fillId="2" borderId="28" xfId="0" applyNumberFormat="1" applyFont="1" applyFill="1" applyBorder="1" applyAlignment="1">
      <alignment vertical="center"/>
    </xf>
    <xf numFmtId="1" fontId="18" fillId="2" borderId="17" xfId="0" applyNumberFormat="1" applyFont="1" applyFill="1" applyBorder="1" applyAlignment="1" applyProtection="1">
      <alignment vertical="center"/>
      <protection locked="0"/>
    </xf>
    <xf numFmtId="3" fontId="18" fillId="2" borderId="17" xfId="0" applyNumberFormat="1" applyFont="1" applyFill="1" applyBorder="1" applyAlignment="1">
      <alignment vertical="center"/>
    </xf>
    <xf numFmtId="4" fontId="18" fillId="2" borderId="0" xfId="0" applyNumberFormat="1" applyFont="1" applyFill="1" applyAlignment="1" applyProtection="1">
      <alignment horizontal="right" vertical="center"/>
      <protection locked="0"/>
    </xf>
    <xf numFmtId="169" fontId="18" fillId="2" borderId="0" xfId="0" applyNumberFormat="1" applyFont="1" applyFill="1" applyAlignment="1" applyProtection="1">
      <alignment vertical="center"/>
      <protection locked="0"/>
    </xf>
    <xf numFmtId="3" fontId="18" fillId="2" borderId="9" xfId="0" applyNumberFormat="1" applyFont="1" applyFill="1" applyBorder="1" applyAlignment="1" applyProtection="1">
      <alignment vertical="center"/>
      <protection locked="0"/>
    </xf>
    <xf numFmtId="3" fontId="18" fillId="2" borderId="0" xfId="0" applyNumberFormat="1" applyFont="1" applyFill="1" applyAlignment="1" applyProtection="1">
      <alignment vertical="center"/>
      <protection locked="0"/>
    </xf>
    <xf numFmtId="4" fontId="18" fillId="2" borderId="9" xfId="0" applyNumberFormat="1" applyFont="1" applyFill="1" applyBorder="1" applyAlignment="1" applyProtection="1">
      <alignment vertical="center"/>
      <protection locked="0"/>
    </xf>
    <xf numFmtId="0" fontId="18" fillId="2" borderId="32" xfId="0" applyFont="1" applyFill="1" applyBorder="1" applyAlignment="1">
      <alignment vertical="center"/>
    </xf>
    <xf numFmtId="170" fontId="18" fillId="2" borderId="0" xfId="0" applyNumberFormat="1" applyFont="1" applyFill="1" applyAlignment="1" applyProtection="1">
      <alignment horizontal="right" vertical="center"/>
      <protection locked="0"/>
    </xf>
    <xf numFmtId="3" fontId="18" fillId="2" borderId="39" xfId="0" applyNumberFormat="1" applyFont="1" applyFill="1" applyBorder="1" applyAlignment="1">
      <alignment vertical="center"/>
    </xf>
    <xf numFmtId="3" fontId="18" fillId="0" borderId="17" xfId="0" applyNumberFormat="1" applyFont="1" applyBorder="1" applyAlignment="1" applyProtection="1">
      <alignment vertical="center"/>
      <protection locked="0"/>
    </xf>
    <xf numFmtId="0" fontId="15" fillId="2" borderId="58" xfId="0" applyFont="1" applyFill="1" applyBorder="1" applyAlignment="1">
      <alignment vertical="center"/>
    </xf>
    <xf numFmtId="3" fontId="0" fillId="0" borderId="0" xfId="2" applyNumberFormat="1" applyFont="1" applyFill="1" applyBorder="1" applyAlignment="1" applyProtection="1">
      <alignment horizontal="right" vertical="center"/>
      <protection locked="0"/>
    </xf>
    <xf numFmtId="0" fontId="15" fillId="0" borderId="54" xfId="0" applyFont="1" applyBorder="1" applyAlignment="1">
      <alignment vertical="center"/>
    </xf>
    <xf numFmtId="0" fontId="0" fillId="0" borderId="25" xfId="0" applyBorder="1" applyAlignment="1" applyProtection="1">
      <alignment vertical="center"/>
      <protection locked="0"/>
    </xf>
    <xf numFmtId="171" fontId="28" fillId="0" borderId="8" xfId="0" applyNumberFormat="1" applyFont="1" applyBorder="1" applyAlignment="1">
      <alignment horizontal="center" vertical="center"/>
    </xf>
    <xf numFmtId="4" fontId="30" fillId="0" borderId="68" xfId="0" applyNumberFormat="1" applyFont="1" applyBorder="1" applyAlignment="1">
      <alignment vertical="center"/>
    </xf>
    <xf numFmtId="171" fontId="32" fillId="0" borderId="68" xfId="0" applyNumberFormat="1" applyFont="1" applyBorder="1" applyAlignment="1" applyProtection="1">
      <alignment horizontal="center" vertical="center"/>
      <protection hidden="1"/>
    </xf>
    <xf numFmtId="0" fontId="13" fillId="2" borderId="5" xfId="0" applyFont="1" applyFill="1" applyBorder="1" applyAlignment="1" applyProtection="1">
      <alignment horizontal="right" vertical="center"/>
      <protection locked="0"/>
    </xf>
    <xf numFmtId="0" fontId="13" fillId="2" borderId="9" xfId="0" applyFont="1" applyFill="1" applyBorder="1" applyAlignment="1" applyProtection="1">
      <alignment horizontal="right" vertical="center"/>
      <protection locked="0"/>
    </xf>
    <xf numFmtId="0" fontId="12" fillId="2" borderId="9" xfId="0" applyFont="1" applyFill="1" applyBorder="1" applyAlignment="1">
      <alignment horizontal="right" vertical="center"/>
    </xf>
    <xf numFmtId="3" fontId="8" fillId="0" borderId="9" xfId="0" applyNumberFormat="1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vertical="center"/>
    </xf>
    <xf numFmtId="0" fontId="20" fillId="0" borderId="0" xfId="0" applyFont="1" applyAlignment="1">
      <alignment vertical="center"/>
    </xf>
    <xf numFmtId="3" fontId="15" fillId="2" borderId="32" xfId="0" applyNumberFormat="1" applyFont="1" applyFill="1" applyBorder="1" applyAlignment="1">
      <alignment vertical="center"/>
    </xf>
    <xf numFmtId="0" fontId="8" fillId="0" borderId="18" xfId="0" applyFont="1" applyBorder="1" applyAlignment="1" applyProtection="1">
      <alignment horizontal="center" vertical="center"/>
      <protection locked="0"/>
    </xf>
    <xf numFmtId="3" fontId="15" fillId="0" borderId="35" xfId="0" applyNumberFormat="1" applyFont="1" applyBorder="1" applyAlignment="1" applyProtection="1">
      <alignment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vertical="center"/>
      <protection locked="0"/>
    </xf>
    <xf numFmtId="3" fontId="4" fillId="2" borderId="52" xfId="0" applyNumberFormat="1" applyFont="1" applyFill="1" applyBorder="1" applyAlignment="1" applyProtection="1">
      <alignment vertical="center"/>
      <protection locked="0"/>
    </xf>
    <xf numFmtId="3" fontId="19" fillId="2" borderId="38" xfId="0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13" fillId="8" borderId="0" xfId="0" applyFont="1" applyFill="1" applyAlignment="1">
      <alignment horizontal="center" vertical="center"/>
    </xf>
    <xf numFmtId="9" fontId="13" fillId="8" borderId="0" xfId="0" applyNumberFormat="1" applyFont="1" applyFill="1" applyAlignment="1">
      <alignment horizontal="center" vertical="center"/>
    </xf>
    <xf numFmtId="1" fontId="0" fillId="2" borderId="39" xfId="2" applyNumberFormat="1" applyFont="1" applyFill="1" applyBorder="1" applyAlignment="1" applyProtection="1">
      <alignment horizontal="right" vertical="center"/>
      <protection locked="0"/>
    </xf>
    <xf numFmtId="172" fontId="5" fillId="0" borderId="0" xfId="3" applyNumberFormat="1" applyFont="1"/>
    <xf numFmtId="4" fontId="5" fillId="10" borderId="42" xfId="0" applyNumberFormat="1" applyFont="1" applyFill="1" applyBorder="1" applyAlignment="1" applyProtection="1">
      <alignment horizontal="center" vertical="center"/>
      <protection hidden="1"/>
    </xf>
    <xf numFmtId="3" fontId="8" fillId="10" borderId="41" xfId="0" applyNumberFormat="1" applyFont="1" applyFill="1" applyBorder="1" applyAlignment="1" applyProtection="1">
      <alignment horizontal="right" vertical="center"/>
      <protection hidden="1"/>
    </xf>
    <xf numFmtId="3" fontId="8" fillId="10" borderId="42" xfId="0" applyNumberFormat="1" applyFont="1" applyFill="1" applyBorder="1" applyAlignment="1" applyProtection="1">
      <alignment horizontal="right" vertical="center"/>
      <protection hidden="1"/>
    </xf>
    <xf numFmtId="3" fontId="8" fillId="10" borderId="17" xfId="0" applyNumberFormat="1" applyFont="1" applyFill="1" applyBorder="1" applyAlignment="1" applyProtection="1">
      <alignment horizontal="center" vertical="center"/>
      <protection hidden="1"/>
    </xf>
    <xf numFmtId="3" fontId="8" fillId="10" borderId="17" xfId="0" applyNumberFormat="1" applyFont="1" applyFill="1" applyBorder="1" applyAlignment="1" applyProtection="1">
      <alignment vertical="center"/>
      <protection hidden="1"/>
    </xf>
    <xf numFmtId="3" fontId="8" fillId="10" borderId="29" xfId="0" applyNumberFormat="1" applyFont="1" applyFill="1" applyBorder="1" applyAlignment="1" applyProtection="1">
      <alignment horizontal="right" vertical="center"/>
      <protection hidden="1"/>
    </xf>
    <xf numFmtId="4" fontId="8" fillId="10" borderId="17" xfId="0" applyNumberFormat="1" applyFont="1" applyFill="1" applyBorder="1" applyAlignment="1" applyProtection="1">
      <alignment horizontal="center" vertical="center"/>
      <protection hidden="1"/>
    </xf>
    <xf numFmtId="4" fontId="8" fillId="10" borderId="31" xfId="0" applyNumberFormat="1" applyFont="1" applyFill="1" applyBorder="1" applyAlignment="1" applyProtection="1">
      <alignment horizontal="center" vertical="center"/>
      <protection hidden="1"/>
    </xf>
    <xf numFmtId="3" fontId="8" fillId="10" borderId="28" xfId="0" applyNumberFormat="1" applyFont="1" applyFill="1" applyBorder="1" applyAlignment="1" applyProtection="1">
      <alignment horizontal="right" vertical="center"/>
      <protection hidden="1"/>
    </xf>
    <xf numFmtId="3" fontId="8" fillId="7" borderId="65" xfId="0" applyNumberFormat="1" applyFont="1" applyFill="1" applyBorder="1" applyAlignment="1" applyProtection="1">
      <alignment horizontal="right" vertical="center"/>
      <protection hidden="1"/>
    </xf>
    <xf numFmtId="3" fontId="16" fillId="0" borderId="0" xfId="2" applyNumberFormat="1" applyFont="1" applyFill="1" applyBorder="1" applyAlignment="1" applyProtection="1">
      <alignment horizontal="right" vertical="center"/>
      <protection locked="0"/>
    </xf>
    <xf numFmtId="164" fontId="0" fillId="2" borderId="58" xfId="2" applyFont="1" applyFill="1" applyBorder="1" applyAlignment="1" applyProtection="1">
      <alignment horizontal="right" vertical="center"/>
      <protection locked="0"/>
    </xf>
    <xf numFmtId="3" fontId="0" fillId="0" borderId="39" xfId="2" applyNumberFormat="1" applyFont="1" applyFill="1" applyBorder="1" applyAlignment="1" applyProtection="1">
      <alignment horizontal="right" vertical="center"/>
      <protection locked="0"/>
    </xf>
    <xf numFmtId="0" fontId="8" fillId="0" borderId="9" xfId="0" applyFont="1" applyBorder="1" applyAlignment="1">
      <alignment horizontal="center" vertical="center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31" xfId="0" applyFont="1" applyBorder="1" applyAlignment="1" applyProtection="1">
      <alignment horizontal="center" vertical="center"/>
      <protection hidden="1"/>
    </xf>
    <xf numFmtId="0" fontId="3" fillId="0" borderId="17" xfId="0" applyFont="1" applyBorder="1" applyAlignment="1" applyProtection="1">
      <alignment horizontal="center" vertical="center"/>
      <protection hidden="1"/>
    </xf>
    <xf numFmtId="0" fontId="49" fillId="0" borderId="0" xfId="0" applyFont="1" applyAlignment="1">
      <alignment vertical="center"/>
    </xf>
    <xf numFmtId="171" fontId="13" fillId="0" borderId="0" xfId="0" applyNumberFormat="1" applyFont="1" applyAlignment="1">
      <alignment horizontal="center" vertical="center"/>
    </xf>
    <xf numFmtId="0" fontId="49" fillId="8" borderId="0" xfId="0" applyFont="1" applyFill="1" applyAlignment="1">
      <alignment vertical="center"/>
    </xf>
    <xf numFmtId="0" fontId="8" fillId="12" borderId="17" xfId="0" applyFont="1" applyFill="1" applyBorder="1" applyAlignment="1">
      <alignment horizontal="center" vertical="center"/>
    </xf>
    <xf numFmtId="173" fontId="28" fillId="2" borderId="8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 applyProtection="1">
      <alignment vertical="center"/>
      <protection locked="0"/>
    </xf>
    <xf numFmtId="0" fontId="1" fillId="13" borderId="4" xfId="0" applyFont="1" applyFill="1" applyBorder="1" applyAlignment="1">
      <alignment horizontal="center" vertical="center"/>
    </xf>
    <xf numFmtId="0" fontId="16" fillId="2" borderId="31" xfId="0" applyFont="1" applyFill="1" applyBorder="1" applyAlignment="1" applyProtection="1">
      <alignment horizontal="left" vertical="center" wrapText="1"/>
      <protection locked="0"/>
    </xf>
    <xf numFmtId="16" fontId="1" fillId="13" borderId="4" xfId="0" applyNumberFormat="1" applyFont="1" applyFill="1" applyBorder="1" applyAlignment="1">
      <alignment horizontal="center" vertical="center"/>
    </xf>
    <xf numFmtId="1" fontId="0" fillId="2" borderId="71" xfId="2" applyNumberFormat="1" applyFont="1" applyFill="1" applyBorder="1" applyAlignment="1" applyProtection="1">
      <alignment horizontal="right" vertical="center"/>
      <protection locked="0"/>
    </xf>
    <xf numFmtId="0" fontId="30" fillId="0" borderId="0" xfId="0" applyFont="1" applyAlignment="1" applyProtection="1">
      <alignment vertical="center"/>
      <protection locked="0"/>
    </xf>
    <xf numFmtId="3" fontId="26" fillId="0" borderId="0" xfId="0" applyNumberFormat="1" applyFont="1" applyAlignment="1" applyProtection="1">
      <alignment horizontal="left" vertical="center"/>
      <protection locked="0"/>
    </xf>
    <xf numFmtId="171" fontId="39" fillId="0" borderId="47" xfId="0" applyNumberFormat="1" applyFont="1" applyBorder="1" applyAlignment="1" applyProtection="1">
      <alignment horizontal="center" vertical="center"/>
      <protection hidden="1"/>
    </xf>
    <xf numFmtId="0" fontId="52" fillId="14" borderId="74" xfId="0" applyFont="1" applyFill="1" applyBorder="1" applyAlignment="1">
      <alignment horizontal="right" vertical="center"/>
    </xf>
    <xf numFmtId="0" fontId="53" fillId="0" borderId="0" xfId="0" applyFont="1" applyAlignment="1">
      <alignment horizontal="center" vertical="top"/>
    </xf>
    <xf numFmtId="0" fontId="54" fillId="0" borderId="0" xfId="0" applyFont="1" applyAlignment="1">
      <alignment horizontal="left" vertical="top"/>
    </xf>
    <xf numFmtId="0" fontId="54" fillId="0" borderId="0" xfId="0" applyFont="1" applyAlignment="1">
      <alignment horizontal="center" vertical="top"/>
    </xf>
    <xf numFmtId="44" fontId="47" fillId="0" borderId="0" xfId="3" applyFont="1" applyFill="1" applyBorder="1" applyAlignment="1">
      <alignment horizontal="center" vertical="top"/>
    </xf>
    <xf numFmtId="0" fontId="5" fillId="0" borderId="53" xfId="0" applyFont="1" applyBorder="1" applyAlignment="1">
      <alignment horizontal="left" vertical="top"/>
    </xf>
    <xf numFmtId="0" fontId="47" fillId="0" borderId="60" xfId="0" applyFont="1" applyBorder="1" applyAlignment="1">
      <alignment horizontal="left" vertical="top"/>
    </xf>
    <xf numFmtId="44" fontId="47" fillId="0" borderId="77" xfId="3" applyFont="1" applyFill="1" applyBorder="1" applyAlignment="1">
      <alignment horizontal="center" vertical="top"/>
    </xf>
    <xf numFmtId="44" fontId="47" fillId="0" borderId="39" xfId="3" applyFont="1" applyFill="1" applyBorder="1" applyAlignment="1">
      <alignment horizontal="center" vertical="top"/>
    </xf>
    <xf numFmtId="0" fontId="55" fillId="0" borderId="0" xfId="6" applyFont="1"/>
    <xf numFmtId="9" fontId="27" fillId="0" borderId="0" xfId="6" applyNumberFormat="1" applyFont="1" applyAlignment="1">
      <alignment horizontal="center"/>
    </xf>
    <xf numFmtId="42" fontId="5" fillId="0" borderId="0" xfId="6" applyNumberFormat="1" applyFont="1" applyAlignment="1">
      <alignment horizontal="center"/>
    </xf>
    <xf numFmtId="0" fontId="5" fillId="0" borderId="0" xfId="6" applyFont="1" applyAlignment="1">
      <alignment horizontal="center"/>
    </xf>
    <xf numFmtId="0" fontId="55" fillId="0" borderId="39" xfId="6" applyFont="1" applyBorder="1" applyAlignment="1">
      <alignment vertical="top" wrapText="1"/>
    </xf>
    <xf numFmtId="42" fontId="5" fillId="0" borderId="39" xfId="6" applyNumberFormat="1" applyFont="1" applyBorder="1" applyAlignment="1">
      <alignment horizontal="center" vertical="center"/>
    </xf>
    <xf numFmtId="0" fontId="55" fillId="0" borderId="39" xfId="6" applyFont="1" applyBorder="1"/>
    <xf numFmtId="42" fontId="5" fillId="0" borderId="39" xfId="6" applyNumberFormat="1" applyFont="1" applyBorder="1" applyAlignment="1">
      <alignment horizontal="center"/>
    </xf>
    <xf numFmtId="0" fontId="55" fillId="0" borderId="39" xfId="0" applyFont="1" applyBorder="1" applyAlignment="1">
      <alignment horizontal="left"/>
    </xf>
    <xf numFmtId="3" fontId="55" fillId="0" borderId="39" xfId="0" applyNumberFormat="1" applyFont="1" applyBorder="1" applyAlignment="1">
      <alignment horizontal="left"/>
    </xf>
    <xf numFmtId="0" fontId="7" fillId="0" borderId="0" xfId="0" applyFont="1"/>
    <xf numFmtId="3" fontId="5" fillId="0" borderId="39" xfId="0" applyNumberFormat="1" applyFont="1" applyBorder="1" applyAlignment="1">
      <alignment horizontal="center"/>
    </xf>
    <xf numFmtId="172" fontId="5" fillId="0" borderId="39" xfId="3" applyNumberFormat="1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44" fontId="5" fillId="0" borderId="0" xfId="3" applyFont="1"/>
    <xf numFmtId="172" fontId="5" fillId="0" borderId="0" xfId="3" applyNumberFormat="1" applyFont="1" applyFill="1"/>
    <xf numFmtId="9" fontId="48" fillId="0" borderId="0" xfId="3" applyNumberFormat="1" applyFont="1" applyFill="1" applyBorder="1" applyAlignment="1">
      <alignment horizontal="center" vertical="center"/>
    </xf>
    <xf numFmtId="164" fontId="4" fillId="2" borderId="82" xfId="2" applyFont="1" applyFill="1" applyBorder="1" applyAlignment="1" applyProtection="1">
      <alignment horizontal="center" vertical="center"/>
      <protection locked="0"/>
    </xf>
    <xf numFmtId="3" fontId="1" fillId="0" borderId="23" xfId="0" applyNumberFormat="1" applyFont="1" applyBorder="1" applyAlignment="1" applyProtection="1">
      <alignment vertical="center"/>
      <protection locked="0"/>
    </xf>
    <xf numFmtId="3" fontId="16" fillId="0" borderId="17" xfId="2" applyNumberFormat="1" applyFont="1" applyFill="1" applyBorder="1" applyAlignment="1" applyProtection="1">
      <alignment horizontal="right" vertical="center"/>
      <protection locked="0"/>
    </xf>
    <xf numFmtId="0" fontId="3" fillId="2" borderId="86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3" fontId="8" fillId="5" borderId="87" xfId="0" applyNumberFormat="1" applyFont="1" applyFill="1" applyBorder="1" applyAlignment="1" applyProtection="1">
      <alignment horizontal="right" vertical="center"/>
      <protection hidden="1"/>
    </xf>
    <xf numFmtId="3" fontId="8" fillId="2" borderId="11" xfId="0" applyNumberFormat="1" applyFont="1" applyFill="1" applyBorder="1" applyAlignment="1" applyProtection="1">
      <alignment horizontal="right" vertical="center"/>
      <protection hidden="1"/>
    </xf>
    <xf numFmtId="169" fontId="18" fillId="0" borderId="17" xfId="0" applyNumberFormat="1" applyFont="1" applyBorder="1" applyAlignment="1" applyProtection="1">
      <alignment vertical="center"/>
      <protection locked="0"/>
    </xf>
    <xf numFmtId="1" fontId="18" fillId="0" borderId="17" xfId="0" applyNumberFormat="1" applyFont="1" applyBorder="1" applyAlignment="1" applyProtection="1">
      <alignment vertical="center"/>
      <protection locked="0"/>
    </xf>
    <xf numFmtId="169" fontId="18" fillId="0" borderId="0" xfId="0" applyNumberFormat="1" applyFont="1" applyAlignment="1" applyProtection="1">
      <alignment vertical="center"/>
      <protection locked="0"/>
    </xf>
    <xf numFmtId="0" fontId="1" fillId="2" borderId="64" xfId="0" applyFont="1" applyFill="1" applyBorder="1" applyAlignment="1">
      <alignment vertical="center"/>
    </xf>
    <xf numFmtId="0" fontId="1" fillId="2" borderId="92" xfId="0" applyFont="1" applyFill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 indent="4"/>
    </xf>
    <xf numFmtId="0" fontId="56" fillId="0" borderId="9" xfId="0" applyFont="1" applyBorder="1" applyAlignment="1" applyProtection="1">
      <alignment horizontal="left" vertical="center"/>
      <protection locked="0"/>
    </xf>
    <xf numFmtId="176" fontId="49" fillId="8" borderId="0" xfId="0" applyNumberFormat="1" applyFont="1" applyFill="1" applyAlignment="1">
      <alignment horizontal="center" vertical="center"/>
    </xf>
    <xf numFmtId="176" fontId="13" fillId="8" borderId="0" xfId="0" applyNumberFormat="1" applyFont="1" applyFill="1" applyAlignment="1">
      <alignment horizontal="center" vertical="center"/>
    </xf>
    <xf numFmtId="0" fontId="13" fillId="8" borderId="0" xfId="0" applyFont="1" applyFill="1" applyAlignment="1" applyProtection="1">
      <alignment vertical="center"/>
      <protection locked="0"/>
    </xf>
    <xf numFmtId="176" fontId="49" fillId="8" borderId="0" xfId="0" applyNumberFormat="1" applyFont="1" applyFill="1" applyAlignment="1">
      <alignment vertical="center"/>
    </xf>
    <xf numFmtId="0" fontId="13" fillId="8" borderId="0" xfId="0" applyFont="1" applyFill="1" applyAlignment="1">
      <alignment horizontal="right" vertical="center"/>
    </xf>
    <xf numFmtId="3" fontId="8" fillId="7" borderId="29" xfId="0" applyNumberFormat="1" applyFont="1" applyFill="1" applyBorder="1" applyAlignment="1" applyProtection="1">
      <alignment horizontal="right" vertical="center"/>
      <protection hidden="1"/>
    </xf>
    <xf numFmtId="0" fontId="16" fillId="0" borderId="34" xfId="0" applyFont="1" applyBorder="1" applyAlignment="1">
      <alignment vertical="center"/>
    </xf>
    <xf numFmtId="0" fontId="57" fillId="8" borderId="0" xfId="0" applyFont="1" applyFill="1" applyAlignment="1">
      <alignment vertical="center"/>
    </xf>
    <xf numFmtId="9" fontId="0" fillId="0" borderId="17" xfId="7" applyFont="1" applyFill="1" applyBorder="1" applyAlignment="1" applyProtection="1">
      <alignment vertical="center"/>
      <protection locked="0"/>
    </xf>
    <xf numFmtId="166" fontId="4" fillId="2" borderId="11" xfId="0" applyNumberFormat="1" applyFont="1" applyFill="1" applyBorder="1" applyAlignment="1" applyProtection="1">
      <alignment horizontal="center" vertical="center"/>
      <protection locked="0"/>
    </xf>
    <xf numFmtId="4" fontId="5" fillId="11" borderId="83" xfId="0" applyNumberFormat="1" applyFont="1" applyFill="1" applyBorder="1" applyAlignment="1" applyProtection="1">
      <alignment horizontal="center" vertical="center"/>
      <protection hidden="1"/>
    </xf>
    <xf numFmtId="167" fontId="5" fillId="2" borderId="88" xfId="0" applyNumberFormat="1" applyFont="1" applyFill="1" applyBorder="1" applyAlignment="1">
      <alignment horizontal="center" vertical="center"/>
    </xf>
    <xf numFmtId="3" fontId="8" fillId="10" borderId="93" xfId="0" applyNumberFormat="1" applyFont="1" applyFill="1" applyBorder="1" applyAlignment="1" applyProtection="1">
      <alignment horizontal="right" vertical="center"/>
      <protection hidden="1"/>
    </xf>
    <xf numFmtId="167" fontId="8" fillId="2" borderId="94" xfId="0" applyNumberFormat="1" applyFont="1" applyFill="1" applyBorder="1" applyAlignment="1">
      <alignment horizontal="center" vertical="center"/>
    </xf>
    <xf numFmtId="167" fontId="8" fillId="2" borderId="95" xfId="0" applyNumberFormat="1" applyFont="1" applyFill="1" applyBorder="1" applyAlignment="1">
      <alignment horizontal="center" vertical="center"/>
    </xf>
    <xf numFmtId="3" fontId="5" fillId="10" borderId="85" xfId="0" applyNumberFormat="1" applyFont="1" applyFill="1" applyBorder="1" applyAlignment="1" applyProtection="1">
      <alignment horizontal="right" vertical="center"/>
      <protection hidden="1"/>
    </xf>
    <xf numFmtId="0" fontId="0" fillId="2" borderId="96" xfId="0" applyFill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11" fillId="2" borderId="58" xfId="0" applyFont="1" applyFill="1" applyBorder="1" applyAlignment="1">
      <alignment vertical="center"/>
    </xf>
    <xf numFmtId="164" fontId="0" fillId="2" borderId="69" xfId="2" applyFont="1" applyFill="1" applyBorder="1" applyAlignment="1" applyProtection="1">
      <alignment horizontal="right" vertical="center"/>
      <protection locked="0"/>
    </xf>
    <xf numFmtId="164" fontId="18" fillId="2" borderId="69" xfId="2" applyFill="1" applyBorder="1" applyAlignment="1" applyProtection="1">
      <alignment horizontal="right" vertical="center"/>
      <protection locked="0"/>
    </xf>
    <xf numFmtId="2" fontId="18" fillId="2" borderId="69" xfId="2" applyNumberFormat="1" applyFill="1" applyBorder="1" applyAlignment="1" applyProtection="1">
      <alignment horizontal="right" vertical="center"/>
      <protection locked="0"/>
    </xf>
    <xf numFmtId="1" fontId="18" fillId="2" borderId="69" xfId="2" applyNumberFormat="1" applyFill="1" applyBorder="1" applyAlignment="1" applyProtection="1">
      <alignment horizontal="right" vertical="center"/>
      <protection locked="0"/>
    </xf>
    <xf numFmtId="4" fontId="18" fillId="2" borderId="69" xfId="0" applyNumberFormat="1" applyFont="1" applyFill="1" applyBorder="1" applyAlignment="1" applyProtection="1">
      <alignment horizontal="right" vertical="center"/>
      <protection locked="0"/>
    </xf>
    <xf numFmtId="164" fontId="18" fillId="2" borderId="80" xfId="2" applyFill="1" applyBorder="1" applyAlignment="1" applyProtection="1">
      <alignment horizontal="right" vertical="center"/>
      <protection locked="0"/>
    </xf>
    <xf numFmtId="1" fontId="18" fillId="2" borderId="80" xfId="2" applyNumberFormat="1" applyFill="1" applyBorder="1" applyAlignment="1" applyProtection="1">
      <alignment horizontal="right" vertical="center"/>
      <protection locked="0"/>
    </xf>
    <xf numFmtId="1" fontId="18" fillId="2" borderId="72" xfId="2" applyNumberFormat="1" applyFill="1" applyBorder="1" applyAlignment="1" applyProtection="1">
      <alignment horizontal="right" vertical="center"/>
      <protection locked="0"/>
    </xf>
    <xf numFmtId="4" fontId="18" fillId="0" borderId="80" xfId="0" applyNumberFormat="1" applyFont="1" applyBorder="1" applyAlignment="1">
      <alignment vertical="center"/>
    </xf>
    <xf numFmtId="164" fontId="18" fillId="2" borderId="98" xfId="2" applyFill="1" applyBorder="1" applyAlignment="1" applyProtection="1">
      <alignment horizontal="right" vertical="center"/>
      <protection locked="0"/>
    </xf>
    <xf numFmtId="2" fontId="0" fillId="2" borderId="69" xfId="2" applyNumberFormat="1" applyFont="1" applyFill="1" applyBorder="1" applyAlignment="1" applyProtection="1">
      <alignment horizontal="right" vertical="center"/>
      <protection locked="0"/>
    </xf>
    <xf numFmtId="1" fontId="0" fillId="2" borderId="69" xfId="2" applyNumberFormat="1" applyFont="1" applyFill="1" applyBorder="1" applyAlignment="1" applyProtection="1">
      <alignment horizontal="right" vertical="center"/>
      <protection locked="0"/>
    </xf>
    <xf numFmtId="4" fontId="0" fillId="2" borderId="69" xfId="0" applyNumberFormat="1" applyFill="1" applyBorder="1" applyAlignment="1" applyProtection="1">
      <alignment horizontal="right" vertical="center"/>
      <protection locked="0"/>
    </xf>
    <xf numFmtId="0" fontId="3" fillId="2" borderId="53" xfId="0" applyFont="1" applyFill="1" applyBorder="1" applyAlignment="1">
      <alignment horizontal="right" vertical="center"/>
    </xf>
    <xf numFmtId="0" fontId="55" fillId="0" borderId="80" xfId="6" applyFont="1" applyBorder="1"/>
    <xf numFmtId="0" fontId="52" fillId="17" borderId="53" xfId="6" applyFont="1" applyFill="1" applyBorder="1" applyAlignment="1">
      <alignment horizontal="center"/>
    </xf>
    <xf numFmtId="0" fontId="61" fillId="0" borderId="0" xfId="0" applyFont="1" applyAlignment="1">
      <alignment horizontal="center" vertical="top"/>
    </xf>
    <xf numFmtId="0" fontId="62" fillId="17" borderId="60" xfId="0" applyFont="1" applyFill="1" applyBorder="1" applyAlignment="1">
      <alignment horizontal="center" vertical="top"/>
    </xf>
    <xf numFmtId="0" fontId="62" fillId="0" borderId="60" xfId="0" applyFont="1" applyBorder="1" applyAlignment="1">
      <alignment horizontal="center" vertical="top"/>
    </xf>
    <xf numFmtId="174" fontId="61" fillId="0" borderId="39" xfId="0" applyNumberFormat="1" applyFont="1" applyBorder="1" applyAlignment="1">
      <alignment horizontal="right" vertical="top" shrinkToFit="1"/>
    </xf>
    <xf numFmtId="44" fontId="48" fillId="18" borderId="73" xfId="3" applyFont="1" applyFill="1" applyBorder="1" applyAlignment="1">
      <alignment horizontal="center" vertical="center" wrapText="1"/>
    </xf>
    <xf numFmtId="9" fontId="5" fillId="18" borderId="78" xfId="3" applyNumberFormat="1" applyFont="1" applyFill="1" applyBorder="1" applyAlignment="1">
      <alignment horizontal="center"/>
    </xf>
    <xf numFmtId="0" fontId="63" fillId="17" borderId="60" xfId="1" applyFont="1" applyFill="1" applyBorder="1" applyAlignment="1">
      <alignment horizontal="left" vertical="top"/>
    </xf>
    <xf numFmtId="9" fontId="5" fillId="18" borderId="78" xfId="6" applyNumberFormat="1" applyFont="1" applyFill="1" applyBorder="1" applyAlignment="1">
      <alignment horizontal="center"/>
    </xf>
    <xf numFmtId="0" fontId="63" fillId="17" borderId="53" xfId="1" applyFont="1" applyFill="1" applyBorder="1" applyAlignment="1">
      <alignment horizontal="center"/>
    </xf>
    <xf numFmtId="0" fontId="61" fillId="0" borderId="0" xfId="0" applyFont="1" applyAlignment="1">
      <alignment horizontal="left" vertical="top"/>
    </xf>
    <xf numFmtId="0" fontId="61" fillId="17" borderId="77" xfId="6" applyFont="1" applyFill="1" applyBorder="1"/>
    <xf numFmtId="0" fontId="61" fillId="0" borderId="0" xfId="6" applyFont="1"/>
    <xf numFmtId="42" fontId="61" fillId="0" borderId="80" xfId="6" applyNumberFormat="1" applyFont="1" applyBorder="1"/>
    <xf numFmtId="14" fontId="61" fillId="17" borderId="76" xfId="6" applyNumberFormat="1" applyFont="1" applyFill="1" applyBorder="1" applyAlignment="1">
      <alignment horizontal="center" vertical="center"/>
    </xf>
    <xf numFmtId="176" fontId="61" fillId="0" borderId="99" xfId="0" applyNumberFormat="1" applyFont="1" applyBorder="1"/>
    <xf numFmtId="176" fontId="61" fillId="0" borderId="100" xfId="0" applyNumberFormat="1" applyFont="1" applyBorder="1"/>
    <xf numFmtId="0" fontId="60" fillId="17" borderId="75" xfId="6" applyFont="1" applyFill="1" applyBorder="1" applyAlignment="1">
      <alignment horizontal="center" wrapText="1"/>
    </xf>
    <xf numFmtId="177" fontId="61" fillId="0" borderId="101" xfId="0" applyNumberFormat="1" applyFont="1" applyBorder="1" applyAlignment="1">
      <alignment horizontal="right" vertical="top" shrinkToFit="1"/>
    </xf>
    <xf numFmtId="175" fontId="61" fillId="0" borderId="39" xfId="0" applyNumberFormat="1" applyFont="1" applyBorder="1" applyAlignment="1">
      <alignment horizontal="center"/>
    </xf>
    <xf numFmtId="0" fontId="61" fillId="0" borderId="0" xfId="0" applyFont="1"/>
    <xf numFmtId="0" fontId="60" fillId="17" borderId="75" xfId="6" applyFont="1" applyFill="1" applyBorder="1" applyAlignment="1">
      <alignment horizontal="center"/>
    </xf>
    <xf numFmtId="0" fontId="62" fillId="17" borderId="73" xfId="0" applyFont="1" applyFill="1" applyBorder="1" applyAlignment="1">
      <alignment horizontal="center"/>
    </xf>
    <xf numFmtId="9" fontId="61" fillId="17" borderId="78" xfId="6" applyNumberFormat="1" applyFont="1" applyFill="1" applyBorder="1" applyAlignment="1">
      <alignment horizontal="center"/>
    </xf>
    <xf numFmtId="44" fontId="48" fillId="18" borderId="76" xfId="3" applyFont="1" applyFill="1" applyBorder="1" applyAlignment="1">
      <alignment horizontal="center" vertical="center" wrapText="1"/>
    </xf>
    <xf numFmtId="9" fontId="5" fillId="18" borderId="77" xfId="6" applyNumberFormat="1" applyFont="1" applyFill="1" applyBorder="1" applyAlignment="1">
      <alignment horizontal="center"/>
    </xf>
    <xf numFmtId="44" fontId="48" fillId="18" borderId="62" xfId="3" applyFont="1" applyFill="1" applyBorder="1" applyAlignment="1">
      <alignment horizontal="center" vertical="center"/>
    </xf>
    <xf numFmtId="17" fontId="63" fillId="17" borderId="63" xfId="1" applyNumberFormat="1" applyFont="1" applyFill="1" applyBorder="1" applyAlignment="1">
      <alignment horizontal="center"/>
    </xf>
    <xf numFmtId="0" fontId="61" fillId="0" borderId="0" xfId="0" applyFont="1" applyAlignment="1">
      <alignment horizontal="center"/>
    </xf>
    <xf numFmtId="172" fontId="61" fillId="0" borderId="0" xfId="3" applyNumberFormat="1" applyFont="1" applyAlignment="1">
      <alignment horizontal="center"/>
    </xf>
    <xf numFmtId="0" fontId="7" fillId="0" borderId="0" xfId="0" applyFont="1" applyAlignment="1">
      <alignment vertical="center"/>
    </xf>
    <xf numFmtId="0" fontId="13" fillId="2" borderId="81" xfId="0" applyFont="1" applyFill="1" applyBorder="1" applyAlignment="1" applyProtection="1">
      <alignment horizontal="right" vertical="center"/>
      <protection locked="0"/>
    </xf>
    <xf numFmtId="0" fontId="13" fillId="2" borderId="32" xfId="0" applyFont="1" applyFill="1" applyBorder="1" applyAlignment="1" applyProtection="1">
      <alignment horizontal="right" vertical="center"/>
      <protection locked="0"/>
    </xf>
    <xf numFmtId="0" fontId="60" fillId="17" borderId="62" xfId="0" applyFont="1" applyFill="1" applyBorder="1" applyAlignment="1">
      <alignment horizontal="center"/>
    </xf>
    <xf numFmtId="0" fontId="1" fillId="0" borderId="33" xfId="0" applyFont="1" applyBorder="1" applyAlignment="1" applyProtection="1">
      <alignment horizontal="left" vertical="center"/>
      <protection locked="0"/>
    </xf>
    <xf numFmtId="3" fontId="8" fillId="7" borderId="102" xfId="0" applyNumberFormat="1" applyFont="1" applyFill="1" applyBorder="1" applyAlignment="1" applyProtection="1">
      <alignment horizontal="right" vertical="center"/>
      <protection hidden="1"/>
    </xf>
    <xf numFmtId="3" fontId="8" fillId="2" borderId="103" xfId="0" applyNumberFormat="1" applyFont="1" applyFill="1" applyBorder="1" applyAlignment="1" applyProtection="1">
      <alignment horizontal="right" vertical="center"/>
      <protection hidden="1"/>
    </xf>
    <xf numFmtId="3" fontId="8" fillId="2" borderId="67" xfId="0" applyNumberFormat="1" applyFont="1" applyFill="1" applyBorder="1" applyAlignment="1" applyProtection="1">
      <alignment horizontal="right" vertical="center"/>
      <protection hidden="1"/>
    </xf>
    <xf numFmtId="1" fontId="0" fillId="2" borderId="60" xfId="2" applyNumberFormat="1" applyFont="1" applyFill="1" applyBorder="1" applyAlignment="1" applyProtection="1">
      <alignment horizontal="right" vertical="center"/>
      <protection locked="0"/>
    </xf>
    <xf numFmtId="1" fontId="0" fillId="2" borderId="102" xfId="2" applyNumberFormat="1" applyFont="1" applyFill="1" applyBorder="1" applyAlignment="1" applyProtection="1">
      <alignment horizontal="right" vertical="center"/>
      <protection locked="0"/>
    </xf>
    <xf numFmtId="3" fontId="15" fillId="2" borderId="0" xfId="0" applyNumberFormat="1" applyFont="1" applyFill="1" applyAlignment="1">
      <alignment vertical="center"/>
    </xf>
    <xf numFmtId="164" fontId="0" fillId="2" borderId="39" xfId="2" applyFont="1" applyFill="1" applyBorder="1" applyAlignment="1" applyProtection="1">
      <alignment horizontal="right" vertical="center"/>
      <protection locked="0"/>
    </xf>
    <xf numFmtId="1" fontId="0" fillId="2" borderId="18" xfId="2" applyNumberFormat="1" applyFont="1" applyFill="1" applyBorder="1" applyAlignment="1" applyProtection="1">
      <alignment horizontal="right" vertical="center"/>
      <protection locked="0"/>
    </xf>
    <xf numFmtId="3" fontId="15" fillId="2" borderId="23" xfId="0" applyNumberFormat="1" applyFont="1" applyFill="1" applyBorder="1" applyAlignment="1">
      <alignment vertical="center"/>
    </xf>
    <xf numFmtId="0" fontId="8" fillId="2" borderId="34" xfId="0" applyFont="1" applyFill="1" applyBorder="1" applyAlignment="1" applyProtection="1">
      <alignment horizontal="center" vertical="center"/>
      <protection locked="0"/>
    </xf>
    <xf numFmtId="3" fontId="15" fillId="2" borderId="67" xfId="0" applyNumberFormat="1" applyFont="1" applyFill="1" applyBorder="1" applyAlignment="1">
      <alignment vertical="center"/>
    </xf>
    <xf numFmtId="0" fontId="15" fillId="2" borderId="80" xfId="0" applyFont="1" applyFill="1" applyBorder="1" applyAlignment="1">
      <alignment vertical="center"/>
    </xf>
    <xf numFmtId="3" fontId="15" fillId="2" borderId="105" xfId="0" applyNumberFormat="1" applyFont="1" applyFill="1" applyBorder="1" applyAlignment="1">
      <alignment vertical="center"/>
    </xf>
    <xf numFmtId="0" fontId="15" fillId="2" borderId="107" xfId="0" applyFont="1" applyFill="1" applyBorder="1" applyAlignment="1">
      <alignment vertical="center"/>
    </xf>
    <xf numFmtId="0" fontId="15" fillId="2" borderId="108" xfId="0" applyFont="1" applyFill="1" applyBorder="1" applyAlignment="1">
      <alignment vertical="center"/>
    </xf>
    <xf numFmtId="3" fontId="15" fillId="2" borderId="109" xfId="0" applyNumberFormat="1" applyFont="1" applyFill="1" applyBorder="1" applyAlignment="1">
      <alignment vertical="center"/>
    </xf>
    <xf numFmtId="1" fontId="0" fillId="2" borderId="98" xfId="2" applyNumberFormat="1" applyFont="1" applyFill="1" applyBorder="1" applyAlignment="1" applyProtection="1">
      <alignment horizontal="right" vertical="center"/>
      <protection locked="0"/>
    </xf>
    <xf numFmtId="168" fontId="0" fillId="2" borderId="69" xfId="2" applyNumberFormat="1" applyFont="1" applyFill="1" applyBorder="1" applyAlignment="1" applyProtection="1">
      <alignment horizontal="right" vertical="center"/>
      <protection locked="0"/>
    </xf>
    <xf numFmtId="168" fontId="0" fillId="2" borderId="111" xfId="2" applyNumberFormat="1" applyFont="1" applyFill="1" applyBorder="1" applyAlignment="1" applyProtection="1">
      <alignment horizontal="right" vertical="center"/>
      <protection locked="0"/>
    </xf>
    <xf numFmtId="1" fontId="0" fillId="2" borderId="53" xfId="2" applyNumberFormat="1" applyFont="1" applyFill="1" applyBorder="1" applyAlignment="1" applyProtection="1">
      <alignment horizontal="right" vertical="center"/>
      <protection locked="0"/>
    </xf>
    <xf numFmtId="1" fontId="0" fillId="2" borderId="113" xfId="2" applyNumberFormat="1" applyFont="1" applyFill="1" applyBorder="1" applyAlignment="1" applyProtection="1">
      <alignment horizontal="right" vertical="center"/>
      <protection locked="0"/>
    </xf>
    <xf numFmtId="3" fontId="0" fillId="0" borderId="19" xfId="2" applyNumberFormat="1" applyFont="1" applyFill="1" applyBorder="1" applyAlignment="1" applyProtection="1">
      <alignment horizontal="right" vertical="center"/>
      <protection locked="0"/>
    </xf>
    <xf numFmtId="0" fontId="1" fillId="2" borderId="73" xfId="0" applyFont="1" applyFill="1" applyBorder="1" applyAlignment="1" applyProtection="1">
      <alignment horizontal="left" vertical="center"/>
      <protection locked="0"/>
    </xf>
    <xf numFmtId="0" fontId="1" fillId="2" borderId="78" xfId="0" applyFont="1" applyFill="1" applyBorder="1" applyAlignment="1" applyProtection="1">
      <alignment horizontal="left" vertical="center"/>
      <protection locked="0"/>
    </xf>
    <xf numFmtId="0" fontId="1" fillId="2" borderId="116" xfId="0" applyFont="1" applyFill="1" applyBorder="1" applyAlignment="1" applyProtection="1">
      <alignment horizontal="left" vertical="center"/>
      <protection locked="0"/>
    </xf>
    <xf numFmtId="1" fontId="0" fillId="2" borderId="104" xfId="2" applyNumberFormat="1" applyFont="1" applyFill="1" applyBorder="1" applyAlignment="1" applyProtection="1">
      <alignment horizontal="right" vertical="center"/>
      <protection locked="0"/>
    </xf>
    <xf numFmtId="1" fontId="0" fillId="2" borderId="58" xfId="2" applyNumberFormat="1" applyFont="1" applyFill="1" applyBorder="1" applyAlignment="1" applyProtection="1">
      <alignment horizontal="right" vertical="center"/>
      <protection locked="0"/>
    </xf>
    <xf numFmtId="164" fontId="0" fillId="2" borderId="102" xfId="2" applyFont="1" applyFill="1" applyBorder="1" applyAlignment="1" applyProtection="1">
      <alignment horizontal="right" vertical="center"/>
      <protection locked="0"/>
    </xf>
    <xf numFmtId="0" fontId="13" fillId="0" borderId="18" xfId="0" applyFont="1" applyBorder="1" applyAlignment="1" applyProtection="1">
      <alignment horizontal="left" vertical="center"/>
      <protection locked="0"/>
    </xf>
    <xf numFmtId="3" fontId="8" fillId="10" borderId="64" xfId="0" applyNumberFormat="1" applyFont="1" applyFill="1" applyBorder="1" applyAlignment="1" applyProtection="1">
      <alignment horizontal="right" vertical="center"/>
      <protection hidden="1"/>
    </xf>
    <xf numFmtId="3" fontId="8" fillId="2" borderId="64" xfId="0" applyNumberFormat="1" applyFont="1" applyFill="1" applyBorder="1" applyAlignment="1" applyProtection="1">
      <alignment horizontal="right" vertical="center"/>
      <protection hidden="1"/>
    </xf>
    <xf numFmtId="3" fontId="8" fillId="2" borderId="121" xfId="0" applyNumberFormat="1" applyFont="1" applyFill="1" applyBorder="1" applyAlignment="1" applyProtection="1">
      <alignment horizontal="right" vertical="center"/>
      <protection hidden="1"/>
    </xf>
    <xf numFmtId="0" fontId="1" fillId="2" borderId="58" xfId="0" applyFont="1" applyFill="1" applyBorder="1" applyAlignment="1" applyProtection="1">
      <alignment vertical="center"/>
      <protection locked="0"/>
    </xf>
    <xf numFmtId="3" fontId="0" fillId="0" borderId="54" xfId="2" applyNumberFormat="1" applyFont="1" applyFill="1" applyBorder="1" applyAlignment="1" applyProtection="1">
      <alignment horizontal="right" vertical="center"/>
      <protection locked="0"/>
    </xf>
    <xf numFmtId="3" fontId="0" fillId="0" borderId="31" xfId="2" applyNumberFormat="1" applyFont="1" applyFill="1" applyBorder="1" applyAlignment="1" applyProtection="1">
      <alignment horizontal="right" vertical="center"/>
      <protection locked="0"/>
    </xf>
    <xf numFmtId="169" fontId="0" fillId="2" borderId="78" xfId="2" applyNumberFormat="1" applyFont="1" applyFill="1" applyBorder="1" applyAlignment="1" applyProtection="1">
      <alignment horizontal="right" vertical="center"/>
      <protection locked="0"/>
    </xf>
    <xf numFmtId="3" fontId="0" fillId="0" borderId="60" xfId="2" applyNumberFormat="1" applyFont="1" applyFill="1" applyBorder="1" applyAlignment="1" applyProtection="1">
      <alignment horizontal="right" vertical="center"/>
      <protection locked="0"/>
    </xf>
    <xf numFmtId="0" fontId="1" fillId="2" borderId="53" xfId="0" applyFont="1" applyFill="1" applyBorder="1" applyAlignment="1" applyProtection="1">
      <alignment vertical="center"/>
      <protection locked="0"/>
    </xf>
    <xf numFmtId="3" fontId="0" fillId="0" borderId="123" xfId="2" applyNumberFormat="1" applyFont="1" applyFill="1" applyBorder="1" applyAlignment="1" applyProtection="1">
      <alignment horizontal="right" vertical="center"/>
      <protection locked="0"/>
    </xf>
    <xf numFmtId="169" fontId="0" fillId="2" borderId="58" xfId="2" applyNumberFormat="1" applyFont="1" applyFill="1" applyBorder="1" applyAlignment="1" applyProtection="1">
      <alignment horizontal="right" vertical="center"/>
      <protection locked="0"/>
    </xf>
    <xf numFmtId="0" fontId="1" fillId="2" borderId="59" xfId="0" applyFont="1" applyFill="1" applyBorder="1" applyAlignment="1">
      <alignment vertical="center"/>
    </xf>
    <xf numFmtId="0" fontId="1" fillId="2" borderId="125" xfId="0" applyFont="1" applyFill="1" applyBorder="1" applyAlignment="1">
      <alignment vertical="center"/>
    </xf>
    <xf numFmtId="0" fontId="1" fillId="2" borderId="119" xfId="0" applyFont="1" applyFill="1" applyBorder="1" applyAlignment="1" applyProtection="1">
      <alignment horizontal="left" vertical="center"/>
      <protection locked="0"/>
    </xf>
    <xf numFmtId="0" fontId="1" fillId="2" borderId="126" xfId="0" applyFont="1" applyFill="1" applyBorder="1" applyAlignment="1" applyProtection="1">
      <alignment horizontal="left" vertical="center"/>
      <protection locked="0"/>
    </xf>
    <xf numFmtId="0" fontId="1" fillId="2" borderId="75" xfId="0" applyFont="1" applyFill="1" applyBorder="1" applyAlignment="1" applyProtection="1">
      <alignment horizontal="left" vertical="center"/>
      <protection locked="0"/>
    </xf>
    <xf numFmtId="3" fontId="8" fillId="2" borderId="31" xfId="0" applyNumberFormat="1" applyFont="1" applyFill="1" applyBorder="1" applyAlignment="1" applyProtection="1">
      <alignment horizontal="center" vertical="center"/>
      <protection hidden="1"/>
    </xf>
    <xf numFmtId="3" fontId="8" fillId="2" borderId="115" xfId="0" applyNumberFormat="1" applyFont="1" applyFill="1" applyBorder="1" applyAlignment="1" applyProtection="1">
      <alignment vertical="center"/>
      <protection hidden="1"/>
    </xf>
    <xf numFmtId="3" fontId="4" fillId="10" borderId="42" xfId="0" applyNumberFormat="1" applyFont="1" applyFill="1" applyBorder="1" applyAlignment="1">
      <alignment horizontal="center" vertical="center"/>
    </xf>
    <xf numFmtId="0" fontId="1" fillId="2" borderId="128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0" fontId="1" fillId="2" borderId="129" xfId="0" applyFont="1" applyFill="1" applyBorder="1" applyAlignment="1" applyProtection="1">
      <alignment horizontal="left" vertical="center"/>
      <protection locked="0"/>
    </xf>
    <xf numFmtId="0" fontId="1" fillId="2" borderId="98" xfId="0" applyFont="1" applyFill="1" applyBorder="1" applyAlignment="1" applyProtection="1">
      <alignment horizontal="left" vertical="center"/>
      <protection locked="0"/>
    </xf>
    <xf numFmtId="0" fontId="1" fillId="2" borderId="114" xfId="0" applyFont="1" applyFill="1" applyBorder="1" applyAlignment="1" applyProtection="1">
      <alignment horizontal="left" vertical="center"/>
      <protection locked="0"/>
    </xf>
    <xf numFmtId="0" fontId="1" fillId="2" borderId="27" xfId="0" applyFont="1" applyFill="1" applyBorder="1" applyAlignment="1" applyProtection="1">
      <alignment horizontal="right" vertical="center"/>
      <protection locked="0"/>
    </xf>
    <xf numFmtId="164" fontId="0" fillId="2" borderId="31" xfId="2" applyFont="1" applyFill="1" applyBorder="1" applyAlignment="1" applyProtection="1">
      <alignment horizontal="right" vertical="center"/>
      <protection locked="0"/>
    </xf>
    <xf numFmtId="3" fontId="0" fillId="0" borderId="103" xfId="2" applyNumberFormat="1" applyFont="1" applyFill="1" applyBorder="1" applyAlignment="1" applyProtection="1">
      <alignment horizontal="right" vertical="center"/>
      <protection locked="0"/>
    </xf>
    <xf numFmtId="17" fontId="60" fillId="17" borderId="62" xfId="0" applyNumberFormat="1" applyFont="1" applyFill="1" applyBorder="1" applyAlignment="1">
      <alignment horizontal="center"/>
    </xf>
    <xf numFmtId="1" fontId="0" fillId="2" borderId="31" xfId="2" applyNumberFormat="1" applyFont="1" applyFill="1" applyBorder="1" applyAlignment="1" applyProtection="1">
      <alignment horizontal="right" vertical="center"/>
      <protection locked="0"/>
    </xf>
    <xf numFmtId="0" fontId="1" fillId="2" borderId="58" xfId="0" applyFont="1" applyFill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2" borderId="32" xfId="0" applyFill="1" applyBorder="1" applyAlignment="1" applyProtection="1">
      <alignment horizontal="right" vertical="center"/>
      <protection locked="0"/>
    </xf>
    <xf numFmtId="3" fontId="0" fillId="2" borderId="0" xfId="0" applyNumberFormat="1" applyFill="1" applyAlignment="1">
      <alignment horizontal="center" vertical="center"/>
    </xf>
    <xf numFmtId="3" fontId="0" fillId="0" borderId="17" xfId="0" applyNumberFormat="1" applyBorder="1" applyAlignment="1" applyProtection="1">
      <alignment horizontal="right" vertical="center"/>
      <protection locked="0"/>
    </xf>
    <xf numFmtId="0" fontId="0" fillId="2" borderId="27" xfId="0" applyFill="1" applyBorder="1" applyAlignment="1" applyProtection="1">
      <alignment vertical="center"/>
      <protection locked="0"/>
    </xf>
    <xf numFmtId="3" fontId="0" fillId="0" borderId="17" xfId="0" applyNumberFormat="1" applyBorder="1" applyAlignment="1" applyProtection="1">
      <alignment vertical="center"/>
      <protection locked="0"/>
    </xf>
    <xf numFmtId="0" fontId="0" fillId="0" borderId="18" xfId="0" applyBorder="1" applyAlignment="1" applyProtection="1">
      <alignment vertical="center"/>
      <protection locked="0"/>
    </xf>
    <xf numFmtId="0" fontId="24" fillId="2" borderId="0" xfId="1" applyFill="1" applyAlignment="1">
      <alignment vertical="center"/>
    </xf>
    <xf numFmtId="3" fontId="0" fillId="0" borderId="0" xfId="0" applyNumberFormat="1" applyAlignment="1">
      <alignment horizontal="left"/>
    </xf>
    <xf numFmtId="1" fontId="0" fillId="0" borderId="31" xfId="2" applyNumberFormat="1" applyFont="1" applyFill="1" applyBorder="1" applyAlignment="1" applyProtection="1">
      <alignment horizontal="right" vertical="center"/>
      <protection locked="0"/>
    </xf>
    <xf numFmtId="3" fontId="0" fillId="0" borderId="31" xfId="0" applyNumberFormat="1" applyBorder="1" applyAlignment="1" applyProtection="1">
      <alignment vertical="center"/>
      <protection locked="0"/>
    </xf>
    <xf numFmtId="3" fontId="0" fillId="0" borderId="8" xfId="0" applyNumberFormat="1" applyBorder="1" applyAlignment="1">
      <alignment vertical="center"/>
    </xf>
    <xf numFmtId="1" fontId="0" fillId="0" borderId="66" xfId="2" applyNumberFormat="1" applyFont="1" applyFill="1" applyBorder="1" applyAlignment="1" applyProtection="1">
      <alignment horizontal="right" vertical="center"/>
      <protection locked="0"/>
    </xf>
    <xf numFmtId="3" fontId="0" fillId="0" borderId="66" xfId="0" applyNumberFormat="1" applyBorder="1" applyAlignment="1" applyProtection="1">
      <alignment vertical="center"/>
      <protection locked="0"/>
    </xf>
    <xf numFmtId="0" fontId="0" fillId="0" borderId="55" xfId="0" applyBorder="1" applyAlignment="1" applyProtection="1">
      <alignment vertical="center"/>
      <protection locked="0"/>
    </xf>
    <xf numFmtId="3" fontId="0" fillId="2" borderId="66" xfId="0" applyNumberFormat="1" applyFill="1" applyBorder="1" applyAlignment="1" applyProtection="1">
      <alignment vertical="center"/>
      <protection locked="0"/>
    </xf>
    <xf numFmtId="4" fontId="0" fillId="0" borderId="59" xfId="0" applyNumberFormat="1" applyBorder="1" applyAlignment="1" applyProtection="1">
      <alignment horizontal="right" vertical="center"/>
      <protection locked="0"/>
    </xf>
    <xf numFmtId="3" fontId="0" fillId="2" borderId="59" xfId="0" applyNumberFormat="1" applyFill="1" applyBorder="1" applyAlignment="1" applyProtection="1">
      <alignment vertical="center"/>
      <protection locked="0"/>
    </xf>
    <xf numFmtId="4" fontId="0" fillId="2" borderId="59" xfId="0" applyNumberFormat="1" applyFill="1" applyBorder="1" applyAlignment="1" applyProtection="1">
      <alignment vertical="center"/>
      <protection locked="0"/>
    </xf>
    <xf numFmtId="3" fontId="0" fillId="2" borderId="33" xfId="0" applyNumberFormat="1" applyFill="1" applyBorder="1" applyAlignment="1" applyProtection="1">
      <alignment vertical="center"/>
      <protection locked="0"/>
    </xf>
    <xf numFmtId="3" fontId="0" fillId="2" borderId="73" xfId="0" applyNumberFormat="1" applyFill="1" applyBorder="1" applyAlignment="1">
      <alignment vertical="center"/>
    </xf>
    <xf numFmtId="0" fontId="0" fillId="2" borderId="58" xfId="0" applyFill="1" applyBorder="1" applyAlignment="1">
      <alignment vertical="center"/>
    </xf>
    <xf numFmtId="0" fontId="0" fillId="2" borderId="54" xfId="0" applyFill="1" applyBorder="1" applyAlignment="1">
      <alignment vertical="center"/>
    </xf>
    <xf numFmtId="4" fontId="0" fillId="2" borderId="54" xfId="0" applyNumberFormat="1" applyFill="1" applyBorder="1" applyAlignment="1" applyProtection="1">
      <alignment vertical="center"/>
      <protection locked="0"/>
    </xf>
    <xf numFmtId="0" fontId="0" fillId="2" borderId="104" xfId="0" applyFill="1" applyBorder="1" applyAlignment="1">
      <alignment vertical="center"/>
    </xf>
    <xf numFmtId="3" fontId="0" fillId="2" borderId="127" xfId="0" applyNumberFormat="1" applyFill="1" applyBorder="1" applyAlignment="1">
      <alignment vertical="center"/>
    </xf>
    <xf numFmtId="4" fontId="0" fillId="0" borderId="54" xfId="0" applyNumberFormat="1" applyBorder="1" applyAlignment="1" applyProtection="1">
      <alignment horizontal="right" vertical="center"/>
      <protection locked="0"/>
    </xf>
    <xf numFmtId="3" fontId="0" fillId="2" borderId="39" xfId="0" applyNumberFormat="1" applyFill="1" applyBorder="1" applyAlignment="1" applyProtection="1">
      <alignment vertical="center"/>
      <protection locked="0"/>
    </xf>
    <xf numFmtId="3" fontId="0" fillId="2" borderId="103" xfId="0" applyNumberFormat="1" applyFill="1" applyBorder="1" applyAlignment="1">
      <alignment vertical="center"/>
    </xf>
    <xf numFmtId="3" fontId="0" fillId="2" borderId="104" xfId="0" applyNumberFormat="1" applyFill="1" applyBorder="1" applyAlignment="1">
      <alignment vertical="center"/>
    </xf>
    <xf numFmtId="3" fontId="0" fillId="2" borderId="118" xfId="0" applyNumberFormat="1" applyFill="1" applyBorder="1" applyAlignment="1" applyProtection="1">
      <alignment vertical="center"/>
      <protection locked="0"/>
    </xf>
    <xf numFmtId="169" fontId="0" fillId="2" borderId="54" xfId="0" applyNumberFormat="1" applyFill="1" applyBorder="1" applyAlignment="1" applyProtection="1">
      <alignment vertical="center"/>
      <protection locked="0"/>
    </xf>
    <xf numFmtId="3" fontId="0" fillId="2" borderId="104" xfId="0" applyNumberFormat="1" applyFill="1" applyBorder="1" applyAlignment="1" applyProtection="1">
      <alignment vertical="center"/>
      <protection locked="0"/>
    </xf>
    <xf numFmtId="0" fontId="0" fillId="2" borderId="79" xfId="0" applyFill="1" applyBorder="1" applyAlignment="1">
      <alignment vertical="center"/>
    </xf>
    <xf numFmtId="0" fontId="0" fillId="2" borderId="76" xfId="0" applyFill="1" applyBorder="1" applyAlignment="1">
      <alignment vertical="center"/>
    </xf>
    <xf numFmtId="3" fontId="0" fillId="2" borderId="34" xfId="0" applyNumberFormat="1" applyFill="1" applyBorder="1" applyAlignment="1" applyProtection="1">
      <alignment vertical="center"/>
      <protection locked="0"/>
    </xf>
    <xf numFmtId="3" fontId="0" fillId="2" borderId="116" xfId="0" applyNumberFormat="1" applyFill="1" applyBorder="1" applyAlignment="1" applyProtection="1">
      <alignment vertical="center"/>
      <protection locked="0"/>
    </xf>
    <xf numFmtId="3" fontId="0" fillId="2" borderId="35" xfId="0" applyNumberFormat="1" applyFill="1" applyBorder="1" applyAlignment="1" applyProtection="1">
      <alignment vertical="center"/>
      <protection locked="0"/>
    </xf>
    <xf numFmtId="4" fontId="0" fillId="0" borderId="39" xfId="0" applyNumberFormat="1" applyBorder="1" applyAlignment="1" applyProtection="1">
      <alignment horizontal="right" vertical="center"/>
      <protection locked="0"/>
    </xf>
    <xf numFmtId="169" fontId="0" fillId="2" borderId="39" xfId="0" applyNumberFormat="1" applyFill="1" applyBorder="1" applyAlignment="1" applyProtection="1">
      <alignment vertical="center"/>
      <protection locked="0"/>
    </xf>
    <xf numFmtId="3" fontId="0" fillId="0" borderId="39" xfId="0" applyNumberFormat="1" applyBorder="1" applyAlignment="1" applyProtection="1">
      <alignment vertical="center"/>
      <protection locked="0"/>
    </xf>
    <xf numFmtId="3" fontId="0" fillId="2" borderId="39" xfId="0" applyNumberFormat="1" applyFill="1" applyBorder="1" applyAlignment="1">
      <alignment vertical="center"/>
    </xf>
    <xf numFmtId="0" fontId="0" fillId="0" borderId="54" xfId="0" applyBorder="1" applyAlignment="1">
      <alignment vertical="center"/>
    </xf>
    <xf numFmtId="3" fontId="0" fillId="2" borderId="106" xfId="0" applyNumberFormat="1" applyFill="1" applyBorder="1" applyAlignment="1" applyProtection="1">
      <alignment vertical="center"/>
      <protection locked="0"/>
    </xf>
    <xf numFmtId="3" fontId="0" fillId="2" borderId="32" xfId="0" applyNumberFormat="1" applyFill="1" applyBorder="1" applyAlignment="1" applyProtection="1">
      <alignment vertical="center"/>
      <protection locked="0"/>
    </xf>
    <xf numFmtId="4" fontId="0" fillId="0" borderId="17" xfId="0" applyNumberFormat="1" applyBorder="1" applyAlignment="1" applyProtection="1">
      <alignment horizontal="right" vertical="center"/>
      <protection locked="0"/>
    </xf>
    <xf numFmtId="3" fontId="0" fillId="2" borderId="27" xfId="0" applyNumberFormat="1" applyFill="1" applyBorder="1" applyAlignment="1" applyProtection="1">
      <alignment vertical="center"/>
      <protection locked="0"/>
    </xf>
    <xf numFmtId="3" fontId="0" fillId="2" borderId="36" xfId="0" applyNumberFormat="1" applyFill="1" applyBorder="1" applyAlignment="1" applyProtection="1">
      <alignment vertical="center"/>
      <protection locked="0"/>
    </xf>
    <xf numFmtId="3" fontId="0" fillId="2" borderId="37" xfId="0" applyNumberFormat="1" applyFill="1" applyBorder="1" applyAlignment="1" applyProtection="1">
      <alignment vertical="center"/>
      <protection locked="0"/>
    </xf>
    <xf numFmtId="0" fontId="0" fillId="2" borderId="27" xfId="0" applyFill="1" applyBorder="1" applyAlignment="1">
      <alignment horizontal="right" vertical="center"/>
    </xf>
    <xf numFmtId="0" fontId="0" fillId="0" borderId="23" xfId="0" applyBorder="1" applyAlignment="1">
      <alignment vertical="center"/>
    </xf>
    <xf numFmtId="3" fontId="0" fillId="2" borderId="110" xfId="0" applyNumberFormat="1" applyFill="1" applyBorder="1" applyAlignment="1" applyProtection="1">
      <alignment vertical="center"/>
      <protection locked="0"/>
    </xf>
    <xf numFmtId="3" fontId="0" fillId="0" borderId="28" xfId="0" applyNumberFormat="1" applyBorder="1" applyAlignment="1" applyProtection="1">
      <alignment vertical="center"/>
      <protection locked="0"/>
    </xf>
    <xf numFmtId="3" fontId="0" fillId="2" borderId="28" xfId="0" applyNumberFormat="1" applyFill="1" applyBorder="1" applyAlignment="1" applyProtection="1">
      <alignment vertical="center"/>
      <protection locked="0"/>
    </xf>
    <xf numFmtId="0" fontId="0" fillId="2" borderId="33" xfId="0" applyFill="1" applyBorder="1" applyAlignment="1" applyProtection="1">
      <alignment vertical="center"/>
      <protection locked="0"/>
    </xf>
    <xf numFmtId="0" fontId="0" fillId="2" borderId="80" xfId="0" applyFill="1" applyBorder="1" applyAlignment="1">
      <alignment vertical="center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31" xfId="0" applyFill="1" applyBorder="1" applyAlignment="1" applyProtection="1">
      <alignment vertical="center"/>
      <protection locked="0"/>
    </xf>
    <xf numFmtId="3" fontId="0" fillId="2" borderId="109" xfId="0" applyNumberFormat="1" applyFill="1" applyBorder="1" applyAlignment="1" applyProtection="1">
      <alignment vertical="center"/>
      <protection locked="0"/>
    </xf>
    <xf numFmtId="4" fontId="0" fillId="0" borderId="103" xfId="0" applyNumberFormat="1" applyBorder="1" applyAlignment="1" applyProtection="1">
      <alignment horizontal="right" vertical="center"/>
      <protection locked="0"/>
    </xf>
    <xf numFmtId="169" fontId="0" fillId="2" borderId="103" xfId="0" applyNumberFormat="1" applyFill="1" applyBorder="1" applyAlignment="1" applyProtection="1">
      <alignment vertical="center"/>
      <protection locked="0"/>
    </xf>
    <xf numFmtId="3" fontId="0" fillId="2" borderId="67" xfId="0" applyNumberFormat="1" applyFill="1" applyBorder="1" applyAlignment="1" applyProtection="1">
      <alignment vertical="center"/>
      <protection locked="0"/>
    </xf>
    <xf numFmtId="4" fontId="0" fillId="0" borderId="60" xfId="0" applyNumberFormat="1" applyBorder="1" applyAlignment="1" applyProtection="1">
      <alignment horizontal="right" vertical="center"/>
      <protection locked="0"/>
    </xf>
    <xf numFmtId="169" fontId="0" fillId="2" borderId="60" xfId="0" applyNumberFormat="1" applyFill="1" applyBorder="1" applyAlignment="1" applyProtection="1">
      <alignment vertical="center"/>
      <protection locked="0"/>
    </xf>
    <xf numFmtId="3" fontId="0" fillId="2" borderId="105" xfId="0" applyNumberFormat="1" applyFill="1" applyBorder="1" applyAlignment="1">
      <alignment vertical="center"/>
    </xf>
    <xf numFmtId="3" fontId="0" fillId="2" borderId="67" xfId="0" applyNumberFormat="1" applyFill="1" applyBorder="1" applyAlignment="1">
      <alignment vertical="center"/>
    </xf>
    <xf numFmtId="1" fontId="0" fillId="2" borderId="98" xfId="0" applyNumberFormat="1" applyFill="1" applyBorder="1" applyAlignment="1" applyProtection="1">
      <alignment horizontal="right" vertical="center"/>
      <protection locked="0"/>
    </xf>
    <xf numFmtId="0" fontId="0" fillId="2" borderId="28" xfId="0" applyFill="1" applyBorder="1" applyAlignment="1" applyProtection="1">
      <alignment vertical="center"/>
      <protection locked="0"/>
    </xf>
    <xf numFmtId="3" fontId="0" fillId="2" borderId="112" xfId="0" applyNumberFormat="1" applyFill="1" applyBorder="1" applyAlignment="1" applyProtection="1">
      <alignment vertical="center"/>
      <protection locked="0"/>
    </xf>
    <xf numFmtId="1" fontId="0" fillId="2" borderId="69" xfId="0" applyNumberFormat="1" applyFill="1" applyBorder="1" applyAlignment="1" applyProtection="1">
      <alignment horizontal="right" vertical="center"/>
      <protection locked="0"/>
    </xf>
    <xf numFmtId="0" fontId="0" fillId="2" borderId="80" xfId="0" applyFill="1" applyBorder="1" applyAlignment="1">
      <alignment horizontal="right" vertical="center"/>
    </xf>
    <xf numFmtId="3" fontId="0" fillId="2" borderId="36" xfId="0" applyNumberFormat="1" applyFill="1" applyBorder="1" applyAlignment="1">
      <alignment vertical="center"/>
    </xf>
    <xf numFmtId="3" fontId="0" fillId="2" borderId="37" xfId="0" applyNumberFormat="1" applyFill="1" applyBorder="1" applyAlignment="1">
      <alignment vertical="center"/>
    </xf>
    <xf numFmtId="0" fontId="0" fillId="0" borderId="27" xfId="0" applyBorder="1" applyAlignment="1" applyProtection="1">
      <alignment horizontal="right" vertical="center"/>
      <protection locked="0"/>
    </xf>
    <xf numFmtId="3" fontId="0" fillId="2" borderId="19" xfId="0" applyNumberFormat="1" applyFill="1" applyBorder="1" applyAlignment="1">
      <alignment vertical="center"/>
    </xf>
    <xf numFmtId="0" fontId="0" fillId="2" borderId="27" xfId="0" applyFill="1" applyBorder="1" applyAlignment="1" applyProtection="1">
      <alignment horizontal="right" vertical="center"/>
      <protection locked="0"/>
    </xf>
    <xf numFmtId="0" fontId="0" fillId="2" borderId="66" xfId="0" applyFill="1" applyBorder="1" applyAlignment="1" applyProtection="1">
      <alignment vertical="center"/>
      <protection locked="0"/>
    </xf>
    <xf numFmtId="3" fontId="0" fillId="2" borderId="92" xfId="0" applyNumberFormat="1" applyFill="1" applyBorder="1" applyAlignment="1" applyProtection="1">
      <alignment vertical="center"/>
      <protection locked="0"/>
    </xf>
    <xf numFmtId="178" fontId="0" fillId="0" borderId="71" xfId="2" applyNumberFormat="1" applyFont="1" applyFill="1" applyBorder="1" applyAlignment="1" applyProtection="1">
      <alignment horizontal="right" vertical="center"/>
      <protection locked="0"/>
    </xf>
    <xf numFmtId="3" fontId="0" fillId="0" borderId="124" xfId="0" applyNumberFormat="1" applyBorder="1" applyAlignment="1" applyProtection="1">
      <alignment vertical="center"/>
      <protection locked="0"/>
    </xf>
    <xf numFmtId="3" fontId="0" fillId="0" borderId="17" xfId="0" applyNumberFormat="1" applyBorder="1" applyAlignment="1">
      <alignment vertical="center"/>
    </xf>
    <xf numFmtId="169" fontId="0" fillId="0" borderId="69" xfId="2" applyNumberFormat="1" applyFont="1" applyFill="1" applyBorder="1" applyAlignment="1" applyProtection="1">
      <alignment horizontal="right" vertical="center"/>
      <protection locked="0"/>
    </xf>
    <xf numFmtId="3" fontId="0" fillId="0" borderId="106" xfId="0" applyNumberFormat="1" applyBorder="1" applyAlignment="1" applyProtection="1">
      <alignment vertical="center"/>
      <protection locked="0"/>
    </xf>
    <xf numFmtId="168" fontId="0" fillId="0" borderId="69" xfId="2" applyNumberFormat="1" applyFont="1" applyFill="1" applyBorder="1" applyAlignment="1" applyProtection="1">
      <alignment horizontal="right" vertical="center"/>
      <protection locked="0"/>
    </xf>
    <xf numFmtId="168" fontId="0" fillId="2" borderId="70" xfId="2" applyNumberFormat="1" applyFont="1" applyFill="1" applyBorder="1" applyAlignment="1" applyProtection="1">
      <alignment horizontal="right" vertical="center"/>
      <protection locked="0"/>
    </xf>
    <xf numFmtId="3" fontId="0" fillId="0" borderId="109" xfId="0" applyNumberFormat="1" applyBorder="1" applyAlignment="1" applyProtection="1">
      <alignment vertical="center"/>
      <protection locked="0"/>
    </xf>
    <xf numFmtId="3" fontId="0" fillId="0" borderId="31" xfId="0" applyNumberFormat="1" applyBorder="1" applyAlignment="1">
      <alignment vertical="center"/>
    </xf>
    <xf numFmtId="3" fontId="0" fillId="0" borderId="67" xfId="0" applyNumberFormat="1" applyBorder="1" applyAlignment="1" applyProtection="1">
      <alignment vertical="center"/>
      <protection locked="0"/>
    </xf>
    <xf numFmtId="3" fontId="0" fillId="2" borderId="122" xfId="0" applyNumberFormat="1" applyFill="1" applyBorder="1" applyAlignment="1" applyProtection="1">
      <alignment vertical="center"/>
      <protection locked="0"/>
    </xf>
    <xf numFmtId="3" fontId="0" fillId="0" borderId="103" xfId="0" applyNumberFormat="1" applyBorder="1" applyAlignment="1">
      <alignment vertical="center"/>
    </xf>
    <xf numFmtId="3" fontId="0" fillId="0" borderId="67" xfId="0" applyNumberFormat="1" applyBorder="1" applyAlignment="1">
      <alignment vertical="center"/>
    </xf>
    <xf numFmtId="3" fontId="0" fillId="0" borderId="121" xfId="0" applyNumberFormat="1" applyBorder="1" applyAlignment="1" applyProtection="1">
      <alignment vertical="center"/>
      <protection locked="0"/>
    </xf>
    <xf numFmtId="3" fontId="0" fillId="2" borderId="120" xfId="0" applyNumberFormat="1" applyFill="1" applyBorder="1" applyAlignment="1" applyProtection="1">
      <alignment vertical="center"/>
      <protection locked="0"/>
    </xf>
    <xf numFmtId="3" fontId="0" fillId="0" borderId="64" xfId="0" applyNumberFormat="1" applyBorder="1" applyAlignment="1">
      <alignment vertical="center"/>
    </xf>
    <xf numFmtId="3" fontId="0" fillId="0" borderId="19" xfId="0" applyNumberFormat="1" applyBorder="1" applyAlignment="1" applyProtection="1">
      <alignment vertical="center"/>
      <protection locked="0"/>
    </xf>
    <xf numFmtId="3" fontId="0" fillId="2" borderId="18" xfId="0" applyNumberFormat="1" applyFill="1" applyBorder="1" applyAlignment="1">
      <alignment vertical="center"/>
    </xf>
    <xf numFmtId="3" fontId="0" fillId="2" borderId="60" xfId="0" applyNumberFormat="1" applyFill="1" applyBorder="1" applyAlignment="1" applyProtection="1">
      <alignment vertical="center"/>
      <protection locked="0"/>
    </xf>
    <xf numFmtId="3" fontId="0" fillId="0" borderId="35" xfId="0" applyNumberFormat="1" applyBorder="1" applyAlignment="1" applyProtection="1">
      <alignment vertical="center"/>
      <protection locked="0"/>
    </xf>
    <xf numFmtId="0" fontId="0" fillId="2" borderId="28" xfId="0" applyFill="1" applyBorder="1" applyAlignment="1" applyProtection="1">
      <alignment horizontal="right" vertical="center"/>
      <protection locked="0"/>
    </xf>
    <xf numFmtId="3" fontId="0" fillId="2" borderId="54" xfId="0" applyNumberFormat="1" applyFill="1" applyBorder="1" applyAlignment="1" applyProtection="1">
      <alignment vertical="center"/>
      <protection locked="0"/>
    </xf>
    <xf numFmtId="3" fontId="0" fillId="2" borderId="23" xfId="0" applyNumberFormat="1" applyFill="1" applyBorder="1" applyAlignment="1" applyProtection="1">
      <alignment vertical="center"/>
      <protection locked="0"/>
    </xf>
    <xf numFmtId="3" fontId="0" fillId="2" borderId="33" xfId="0" applyNumberFormat="1" applyFill="1" applyBorder="1" applyAlignment="1">
      <alignment vertical="center"/>
    </xf>
    <xf numFmtId="3" fontId="0" fillId="2" borderId="31" xfId="0" applyNumberFormat="1" applyFill="1" applyBorder="1" applyAlignment="1" applyProtection="1">
      <alignment vertical="center"/>
      <protection locked="0"/>
    </xf>
    <xf numFmtId="3" fontId="0" fillId="0" borderId="103" xfId="0" applyNumberFormat="1" applyBorder="1" applyAlignment="1" applyProtection="1">
      <alignment vertical="center"/>
      <protection locked="0"/>
    </xf>
    <xf numFmtId="3" fontId="0" fillId="0" borderId="17" xfId="0" applyNumberFormat="1" applyBorder="1"/>
    <xf numFmtId="0" fontId="0" fillId="0" borderId="17" xfId="0" applyBorder="1"/>
    <xf numFmtId="3" fontId="0" fillId="2" borderId="34" xfId="0" applyNumberFormat="1" applyFill="1" applyBorder="1" applyAlignment="1">
      <alignment vertical="center"/>
    </xf>
    <xf numFmtId="3" fontId="0" fillId="2" borderId="35" xfId="0" applyNumberFormat="1" applyFill="1" applyBorder="1" applyAlignment="1">
      <alignment vertical="center"/>
    </xf>
    <xf numFmtId="0" fontId="0" fillId="0" borderId="79" xfId="0" applyBorder="1" applyAlignment="1">
      <alignment vertical="center"/>
    </xf>
    <xf numFmtId="0" fontId="0" fillId="0" borderId="76" xfId="0" applyBorder="1" applyAlignment="1">
      <alignment vertical="center"/>
    </xf>
    <xf numFmtId="3" fontId="0" fillId="0" borderId="54" xfId="0" applyNumberFormat="1" applyBorder="1" applyAlignment="1" applyProtection="1">
      <alignment vertical="center"/>
      <protection locked="0"/>
    </xf>
    <xf numFmtId="3" fontId="0" fillId="2" borderId="54" xfId="0" applyNumberFormat="1" applyFill="1" applyBorder="1" applyAlignment="1">
      <alignment vertical="center"/>
    </xf>
    <xf numFmtId="3" fontId="0" fillId="0" borderId="37" xfId="0" applyNumberFormat="1" applyBorder="1" applyAlignment="1" applyProtection="1">
      <alignment vertical="center"/>
      <protection locked="0"/>
    </xf>
    <xf numFmtId="3" fontId="0" fillId="2" borderId="28" xfId="0" applyNumberFormat="1" applyFill="1" applyBorder="1" applyAlignment="1">
      <alignment vertical="center"/>
    </xf>
    <xf numFmtId="0" fontId="0" fillId="2" borderId="28" xfId="0" applyFill="1" applyBorder="1" applyAlignment="1">
      <alignment horizontal="right"/>
    </xf>
    <xf numFmtId="0" fontId="0" fillId="2" borderId="28" xfId="0" applyFill="1" applyBorder="1" applyAlignment="1">
      <alignment horizontal="right" vertical="center"/>
    </xf>
    <xf numFmtId="0" fontId="0" fillId="2" borderId="9" xfId="0" applyFill="1" applyBorder="1" applyAlignment="1" applyProtection="1">
      <alignment vertical="center"/>
      <protection locked="0"/>
    </xf>
    <xf numFmtId="0" fontId="0" fillId="0" borderId="9" xfId="0" applyBorder="1" applyAlignment="1" applyProtection="1">
      <alignment horizontal="right" vertical="center"/>
      <protection locked="0"/>
    </xf>
    <xf numFmtId="3" fontId="0" fillId="2" borderId="32" xfId="0" applyNumberFormat="1" applyFill="1" applyBorder="1" applyAlignment="1" applyProtection="1">
      <alignment horizontal="center" vertical="center"/>
      <protection locked="0"/>
    </xf>
    <xf numFmtId="3" fontId="0" fillId="0" borderId="0" xfId="0" applyNumberFormat="1" applyAlignment="1" applyProtection="1">
      <alignment vertical="center"/>
      <protection locked="0"/>
    </xf>
    <xf numFmtId="3" fontId="0" fillId="0" borderId="23" xfId="0" applyNumberFormat="1" applyBorder="1" applyAlignment="1" applyProtection="1">
      <alignment vertical="center"/>
      <protection locked="0"/>
    </xf>
    <xf numFmtId="3" fontId="0" fillId="0" borderId="32" xfId="0" applyNumberFormat="1" applyBorder="1" applyAlignment="1" applyProtection="1">
      <alignment vertical="center"/>
      <protection locked="0"/>
    </xf>
    <xf numFmtId="9" fontId="0" fillId="0" borderId="17" xfId="0" applyNumberFormat="1" applyBorder="1" applyAlignment="1" applyProtection="1">
      <alignment vertical="center"/>
      <protection locked="0"/>
    </xf>
    <xf numFmtId="3" fontId="0" fillId="2" borderId="27" xfId="0" applyNumberFormat="1" applyFill="1" applyBorder="1" applyAlignment="1">
      <alignment vertical="center"/>
    </xf>
    <xf numFmtId="3" fontId="0" fillId="2" borderId="9" xfId="0" applyNumberFormat="1" applyFill="1" applyBorder="1" applyAlignment="1">
      <alignment vertical="center"/>
    </xf>
    <xf numFmtId="3" fontId="0" fillId="2" borderId="28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3" fontId="0" fillId="0" borderId="4" xfId="0" applyNumberFormat="1" applyBorder="1" applyAlignment="1">
      <alignment horizontal="center" vertical="center"/>
    </xf>
    <xf numFmtId="171" fontId="0" fillId="0" borderId="8" xfId="0" applyNumberFormat="1" applyBorder="1" applyAlignment="1">
      <alignment horizontal="center" vertical="center"/>
    </xf>
    <xf numFmtId="0" fontId="0" fillId="2" borderId="54" xfId="0" applyFill="1" applyBorder="1" applyAlignment="1">
      <alignment horizontal="right" vertical="center"/>
    </xf>
    <xf numFmtId="0" fontId="0" fillId="2" borderId="53" xfId="0" applyFill="1" applyBorder="1" applyAlignment="1" applyProtection="1">
      <alignment horizontal="left" vertical="center"/>
      <protection locked="0"/>
    </xf>
    <xf numFmtId="1" fontId="0" fillId="0" borderId="17" xfId="0" applyNumberFormat="1" applyBorder="1" applyAlignment="1" applyProtection="1">
      <alignment vertical="center"/>
      <protection locked="0"/>
    </xf>
    <xf numFmtId="0" fontId="0" fillId="2" borderId="25" xfId="0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164" fontId="0" fillId="0" borderId="0" xfId="2" applyFont="1" applyAlignment="1">
      <alignment vertical="center"/>
    </xf>
    <xf numFmtId="0" fontId="1" fillId="2" borderId="9" xfId="0" applyFont="1" applyFill="1" applyBorder="1" applyAlignment="1" applyProtection="1">
      <alignment horizontal="right" vertical="center"/>
      <protection locked="0"/>
    </xf>
    <xf numFmtId="0" fontId="1" fillId="2" borderId="31" xfId="0" applyFont="1" applyFill="1" applyBorder="1" applyAlignment="1">
      <alignment horizontal="left" vertical="center"/>
    </xf>
    <xf numFmtId="3" fontId="0" fillId="2" borderId="31" xfId="0" applyNumberFormat="1" applyFill="1" applyBorder="1" applyAlignment="1">
      <alignment vertical="center"/>
    </xf>
    <xf numFmtId="3" fontId="0" fillId="2" borderId="66" xfId="0" applyNumberFormat="1" applyFill="1" applyBorder="1" applyAlignment="1">
      <alignment vertical="center"/>
    </xf>
    <xf numFmtId="3" fontId="0" fillId="2" borderId="92" xfId="0" applyNumberFormat="1" applyFill="1" applyBorder="1" applyAlignment="1">
      <alignment vertical="center"/>
    </xf>
    <xf numFmtId="0" fontId="0" fillId="2" borderId="53" xfId="0" applyFill="1" applyBorder="1" applyAlignment="1" applyProtection="1">
      <alignment horizontal="right" vertical="center"/>
      <protection locked="0"/>
    </xf>
    <xf numFmtId="0" fontId="0" fillId="2" borderId="114" xfId="0" applyFill="1" applyBorder="1" applyAlignment="1" applyProtection="1">
      <alignment horizontal="right" vertical="center"/>
      <protection locked="0"/>
    </xf>
    <xf numFmtId="3" fontId="8" fillId="0" borderId="28" xfId="0" applyNumberFormat="1" applyFont="1" applyBorder="1" applyAlignment="1" applyProtection="1">
      <alignment horizontal="right" vertical="center"/>
      <protection hidden="1"/>
    </xf>
    <xf numFmtId="170" fontId="0" fillId="0" borderId="39" xfId="0" applyNumberFormat="1" applyBorder="1" applyAlignment="1" applyProtection="1">
      <alignment vertical="center"/>
      <protection locked="0"/>
    </xf>
    <xf numFmtId="0" fontId="67" fillId="2" borderId="0" xfId="0" applyFont="1" applyFill="1" applyAlignment="1">
      <alignment horizontal="center" vertical="center"/>
    </xf>
    <xf numFmtId="0" fontId="67" fillId="2" borderId="2" xfId="0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7" fillId="2" borderId="0" xfId="0" applyFont="1" applyFill="1" applyAlignment="1">
      <alignment vertical="center"/>
    </xf>
    <xf numFmtId="0" fontId="68" fillId="2" borderId="0" xfId="0" applyFont="1" applyFill="1" applyAlignment="1">
      <alignment vertical="center"/>
    </xf>
    <xf numFmtId="0" fontId="67" fillId="2" borderId="0" xfId="0" applyFont="1" applyFill="1" applyAlignment="1" applyProtection="1">
      <alignment horizontal="left" vertical="center"/>
      <protection locked="0"/>
    </xf>
    <xf numFmtId="0" fontId="67" fillId="0" borderId="0" xfId="0" applyFont="1" applyAlignment="1">
      <alignment vertical="center"/>
    </xf>
    <xf numFmtId="4" fontId="67" fillId="2" borderId="0" xfId="0" applyNumberFormat="1" applyFont="1" applyFill="1" applyAlignment="1" applyProtection="1">
      <alignment horizontal="center" vertical="center"/>
      <protection locked="0"/>
    </xf>
    <xf numFmtId="3" fontId="67" fillId="2" borderId="0" xfId="0" applyNumberFormat="1" applyFont="1" applyFill="1" applyAlignment="1" applyProtection="1">
      <alignment horizontal="center" vertical="center"/>
      <protection locked="0"/>
    </xf>
    <xf numFmtId="0" fontId="67" fillId="2" borderId="25" xfId="0" applyFont="1" applyFill="1" applyBorder="1" applyAlignment="1">
      <alignment horizontal="center" vertical="center"/>
    </xf>
    <xf numFmtId="0" fontId="1" fillId="0" borderId="33" xfId="0" applyFont="1" applyBorder="1" applyAlignment="1" applyProtection="1">
      <alignment horizontal="right" vertical="center"/>
      <protection locked="0"/>
    </xf>
    <xf numFmtId="0" fontId="16" fillId="2" borderId="114" xfId="0" applyFont="1" applyFill="1" applyBorder="1" applyAlignment="1" applyProtection="1">
      <alignment horizontal="left" vertical="center"/>
      <protection locked="0"/>
    </xf>
    <xf numFmtId="3" fontId="15" fillId="2" borderId="54" xfId="0" applyNumberFormat="1" applyFont="1" applyFill="1" applyBorder="1" applyAlignment="1">
      <alignment vertical="center"/>
    </xf>
    <xf numFmtId="3" fontId="15" fillId="2" borderId="104" xfId="0" applyNumberFormat="1" applyFont="1" applyFill="1" applyBorder="1" applyAlignment="1">
      <alignment vertical="center"/>
    </xf>
    <xf numFmtId="0" fontId="1" fillId="2" borderId="39" xfId="0" applyFont="1" applyFill="1" applyBorder="1" applyAlignment="1">
      <alignment horizontal="left" vertical="center"/>
    </xf>
    <xf numFmtId="3" fontId="0" fillId="0" borderId="36" xfId="0" applyNumberFormat="1" applyBorder="1" applyAlignment="1" applyProtection="1">
      <alignment vertical="center"/>
      <protection locked="0"/>
    </xf>
    <xf numFmtId="3" fontId="15" fillId="2" borderId="27" xfId="0" applyNumberFormat="1" applyFont="1" applyFill="1" applyBorder="1" applyAlignment="1">
      <alignment vertical="center"/>
    </xf>
    <xf numFmtId="3" fontId="15" fillId="2" borderId="37" xfId="0" applyNumberFormat="1" applyFont="1" applyFill="1" applyBorder="1" applyAlignment="1">
      <alignment vertical="center"/>
    </xf>
    <xf numFmtId="0" fontId="0" fillId="2" borderId="129" xfId="0" applyFill="1" applyBorder="1" applyAlignment="1">
      <alignment horizontal="right" vertical="center"/>
    </xf>
    <xf numFmtId="0" fontId="15" fillId="2" borderId="79" xfId="0" applyFont="1" applyFill="1" applyBorder="1" applyAlignment="1">
      <alignment vertical="center"/>
    </xf>
    <xf numFmtId="3" fontId="15" fillId="2" borderId="130" xfId="0" applyNumberFormat="1" applyFont="1" applyFill="1" applyBorder="1" applyAlignment="1">
      <alignment vertical="center"/>
    </xf>
    <xf numFmtId="3" fontId="0" fillId="2" borderId="129" xfId="0" applyNumberFormat="1" applyFill="1" applyBorder="1" applyAlignment="1">
      <alignment vertical="center"/>
    </xf>
    <xf numFmtId="3" fontId="0" fillId="2" borderId="76" xfId="0" applyNumberFormat="1" applyFill="1" applyBorder="1" applyAlignment="1">
      <alignment vertical="center"/>
    </xf>
    <xf numFmtId="3" fontId="0" fillId="2" borderId="131" xfId="0" applyNumberFormat="1" applyFill="1" applyBorder="1" applyAlignment="1">
      <alignment vertical="center"/>
    </xf>
    <xf numFmtId="3" fontId="0" fillId="2" borderId="106" xfId="0" applyNumberFormat="1" applyFill="1" applyBorder="1" applyAlignment="1">
      <alignment vertical="center"/>
    </xf>
    <xf numFmtId="3" fontId="0" fillId="2" borderId="110" xfId="0" applyNumberFormat="1" applyFill="1" applyBorder="1" applyAlignment="1">
      <alignment vertical="center"/>
    </xf>
    <xf numFmtId="0" fontId="52" fillId="14" borderId="80" xfId="0" applyFont="1" applyFill="1" applyBorder="1" applyAlignment="1">
      <alignment horizontal="right" vertical="center"/>
    </xf>
    <xf numFmtId="0" fontId="0" fillId="2" borderId="53" xfId="0" applyFill="1" applyBorder="1" applyAlignment="1">
      <alignment horizontal="right" vertical="center"/>
    </xf>
    <xf numFmtId="1" fontId="0" fillId="2" borderId="66" xfId="2" applyNumberFormat="1" applyFont="1" applyFill="1" applyBorder="1" applyAlignment="1" applyProtection="1">
      <alignment horizontal="right" vertical="center"/>
      <protection locked="0"/>
    </xf>
    <xf numFmtId="0" fontId="0" fillId="2" borderId="80" xfId="0" applyFill="1" applyBorder="1" applyAlignment="1" applyProtection="1">
      <alignment horizontal="right" vertical="center"/>
      <protection locked="0"/>
    </xf>
    <xf numFmtId="164" fontId="0" fillId="2" borderId="36" xfId="2" applyFont="1" applyFill="1" applyBorder="1" applyAlignment="1" applyProtection="1">
      <alignment horizontal="right" vertical="center"/>
      <protection locked="0"/>
    </xf>
    <xf numFmtId="1" fontId="0" fillId="2" borderId="30" xfId="2" applyNumberFormat="1" applyFont="1" applyFill="1" applyBorder="1" applyAlignment="1" applyProtection="1">
      <alignment horizontal="right" vertical="center"/>
      <protection locked="0"/>
    </xf>
    <xf numFmtId="0" fontId="0" fillId="2" borderId="127" xfId="0" applyFill="1" applyBorder="1" applyAlignment="1" applyProtection="1">
      <alignment horizontal="right" vertical="center"/>
      <protection locked="0"/>
    </xf>
    <xf numFmtId="0" fontId="0" fillId="2" borderId="78" xfId="0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2" borderId="33" xfId="0" applyFill="1" applyBorder="1" applyAlignment="1" applyProtection="1">
      <alignment horizontal="left" vertical="center"/>
      <protection locked="0"/>
    </xf>
    <xf numFmtId="0" fontId="69" fillId="12" borderId="17" xfId="0" applyFont="1" applyFill="1" applyBorder="1" applyAlignment="1">
      <alignment horizontal="center" vertical="center"/>
    </xf>
    <xf numFmtId="3" fontId="4" fillId="10" borderId="10" xfId="0" applyNumberFormat="1" applyFont="1" applyFill="1" applyBorder="1" applyAlignment="1">
      <alignment horizontal="center" vertical="center"/>
    </xf>
    <xf numFmtId="3" fontId="4" fillId="10" borderId="11" xfId="0" applyNumberFormat="1" applyFont="1" applyFill="1" applyBorder="1" applyAlignment="1">
      <alignment horizontal="center" vertical="center"/>
    </xf>
    <xf numFmtId="180" fontId="73" fillId="20" borderId="0" xfId="0" applyNumberFormat="1" applyFont="1" applyFill="1"/>
    <xf numFmtId="0" fontId="0" fillId="0" borderId="133" xfId="0" applyBorder="1"/>
    <xf numFmtId="0" fontId="0" fillId="0" borderId="134" xfId="0" applyBorder="1"/>
    <xf numFmtId="1" fontId="70" fillId="20" borderId="0" xfId="0" applyNumberFormat="1" applyFont="1" applyFill="1" applyAlignment="1">
      <alignment horizontal="center"/>
    </xf>
    <xf numFmtId="0" fontId="0" fillId="0" borderId="136" xfId="0" applyBorder="1"/>
    <xf numFmtId="49" fontId="70" fillId="0" borderId="0" xfId="0" applyNumberFormat="1" applyFont="1" applyAlignment="1">
      <alignment horizontal="right"/>
    </xf>
    <xf numFmtId="1" fontId="71" fillId="0" borderId="0" xfId="0" applyNumberFormat="1" applyFont="1" applyAlignment="1">
      <alignment horizontal="right"/>
    </xf>
    <xf numFmtId="1" fontId="70" fillId="0" borderId="0" xfId="0" applyNumberFormat="1" applyFont="1" applyAlignment="1">
      <alignment horizontal="center"/>
    </xf>
    <xf numFmtId="179" fontId="70" fillId="0" borderId="0" xfId="0" applyNumberFormat="1" applyFont="1" applyAlignment="1">
      <alignment horizontal="right"/>
    </xf>
    <xf numFmtId="181" fontId="70" fillId="0" borderId="0" xfId="0" applyNumberFormat="1" applyFont="1" applyAlignment="1">
      <alignment horizontal="right"/>
    </xf>
    <xf numFmtId="182" fontId="70" fillId="0" borderId="0" xfId="0" applyNumberFormat="1" applyFont="1" applyAlignment="1">
      <alignment horizontal="right"/>
    </xf>
    <xf numFmtId="172" fontId="70" fillId="0" borderId="0" xfId="3" applyNumberFormat="1" applyFont="1" applyAlignment="1">
      <alignment horizontal="right"/>
    </xf>
    <xf numFmtId="179" fontId="70" fillId="20" borderId="0" xfId="0" applyNumberFormat="1" applyFont="1" applyFill="1" applyAlignment="1">
      <alignment horizontal="right"/>
    </xf>
    <xf numFmtId="180" fontId="73" fillId="20" borderId="132" xfId="0" applyNumberFormat="1" applyFont="1" applyFill="1" applyBorder="1"/>
    <xf numFmtId="0" fontId="0" fillId="0" borderId="132" xfId="0" applyBorder="1"/>
    <xf numFmtId="1" fontId="8" fillId="12" borderId="17" xfId="0" applyNumberFormat="1" applyFont="1" applyFill="1" applyBorder="1" applyAlignment="1">
      <alignment horizontal="center" vertical="center"/>
    </xf>
    <xf numFmtId="49" fontId="8" fillId="4" borderId="18" xfId="0" applyNumberFormat="1" applyFont="1" applyFill="1" applyBorder="1" applyAlignment="1">
      <alignment vertical="center"/>
    </xf>
    <xf numFmtId="167" fontId="8" fillId="2" borderId="88" xfId="0" applyNumberFormat="1" applyFont="1" applyFill="1" applyBorder="1" applyAlignment="1">
      <alignment horizontal="center" vertical="center"/>
    </xf>
    <xf numFmtId="167" fontId="3" fillId="2" borderId="0" xfId="0" applyNumberFormat="1" applyFont="1" applyFill="1" applyAlignment="1">
      <alignment horizontal="center" vertical="center"/>
    </xf>
    <xf numFmtId="167" fontId="8" fillId="2" borderId="0" xfId="0" applyNumberFormat="1" applyFont="1" applyFill="1" applyAlignment="1">
      <alignment horizontal="center" vertical="center"/>
    </xf>
    <xf numFmtId="0" fontId="0" fillId="2" borderId="139" xfId="0" applyFill="1" applyBorder="1" applyAlignment="1">
      <alignment horizontal="center" vertical="center"/>
    </xf>
    <xf numFmtId="0" fontId="0" fillId="2" borderId="140" xfId="0" applyFill="1" applyBorder="1" applyAlignment="1" applyProtection="1">
      <alignment horizontal="right" vertical="center"/>
      <protection locked="0"/>
    </xf>
    <xf numFmtId="0" fontId="8" fillId="0" borderId="141" xfId="0" applyFont="1" applyBorder="1" applyAlignment="1">
      <alignment horizontal="center" vertical="center"/>
    </xf>
    <xf numFmtId="0" fontId="59" fillId="0" borderId="46" xfId="0" applyFont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right" vertical="center"/>
    </xf>
    <xf numFmtId="164" fontId="4" fillId="2" borderId="48" xfId="2" applyFont="1" applyFill="1" applyBorder="1" applyAlignment="1" applyProtection="1">
      <alignment horizontal="center" vertical="center"/>
      <protection locked="0"/>
    </xf>
    <xf numFmtId="166" fontId="4" fillId="2" borderId="142" xfId="0" applyNumberFormat="1" applyFont="1" applyFill="1" applyBorder="1" applyAlignment="1" applyProtection="1">
      <alignment horizontal="center" vertical="center"/>
      <protection locked="0"/>
    </xf>
    <xf numFmtId="0" fontId="0" fillId="0" borderId="53" xfId="0" applyBorder="1" applyAlignment="1" applyProtection="1">
      <alignment horizontal="right" vertical="center"/>
      <protection locked="0"/>
    </xf>
    <xf numFmtId="0" fontId="1" fillId="0" borderId="129" xfId="0" applyFont="1" applyBorder="1" applyAlignment="1" applyProtection="1">
      <alignment horizontal="left" vertical="center"/>
      <protection locked="0"/>
    </xf>
    <xf numFmtId="9" fontId="48" fillId="18" borderId="63" xfId="3" applyNumberFormat="1" applyFont="1" applyFill="1" applyBorder="1" applyAlignment="1">
      <alignment horizontal="center" vertical="center"/>
    </xf>
    <xf numFmtId="167" fontId="3" fillId="6" borderId="23" xfId="0" applyNumberFormat="1" applyFont="1" applyFill="1" applyBorder="1" applyAlignment="1">
      <alignment horizontal="center" vertical="center"/>
    </xf>
    <xf numFmtId="0" fontId="0" fillId="0" borderId="43" xfId="0" applyBorder="1"/>
    <xf numFmtId="0" fontId="0" fillId="0" borderId="44" xfId="0" applyBorder="1"/>
    <xf numFmtId="0" fontId="0" fillId="0" borderId="44" xfId="0" applyBorder="1" applyAlignment="1">
      <alignment horizontal="center"/>
    </xf>
    <xf numFmtId="0" fontId="0" fillId="0" borderId="45" xfId="0" applyBorder="1"/>
    <xf numFmtId="0" fontId="0" fillId="0" borderId="48" xfId="0" applyBorder="1"/>
    <xf numFmtId="0" fontId="0" fillId="0" borderId="49" xfId="0" applyBorder="1"/>
    <xf numFmtId="0" fontId="0" fillId="0" borderId="49" xfId="0" applyBorder="1" applyAlignment="1">
      <alignment horizontal="center"/>
    </xf>
    <xf numFmtId="0" fontId="0" fillId="0" borderId="50" xfId="0" applyBorder="1"/>
    <xf numFmtId="3" fontId="8" fillId="2" borderId="40" xfId="0" applyNumberFormat="1" applyFont="1" applyFill="1" applyBorder="1" applyAlignment="1" applyProtection="1">
      <alignment horizontal="right" vertical="center"/>
      <protection hidden="1"/>
    </xf>
    <xf numFmtId="3" fontId="8" fillId="2" borderId="138" xfId="0" applyNumberFormat="1" applyFont="1" applyFill="1" applyBorder="1" applyAlignment="1" applyProtection="1">
      <alignment horizontal="right" vertical="center"/>
      <protection hidden="1"/>
    </xf>
    <xf numFmtId="171" fontId="28" fillId="2" borderId="0" xfId="0" applyNumberFormat="1" applyFont="1" applyFill="1" applyAlignment="1">
      <alignment horizontal="center" vertical="center"/>
    </xf>
    <xf numFmtId="0" fontId="0" fillId="0" borderId="138" xfId="0" applyBorder="1" applyAlignment="1" applyProtection="1">
      <alignment vertical="center"/>
      <protection locked="0"/>
    </xf>
    <xf numFmtId="3" fontId="19" fillId="2" borderId="52" xfId="0" applyNumberFormat="1" applyFont="1" applyFill="1" applyBorder="1" applyAlignment="1" applyProtection="1">
      <alignment vertical="center"/>
      <protection locked="0"/>
    </xf>
    <xf numFmtId="3" fontId="19" fillId="2" borderId="138" xfId="0" applyNumberFormat="1" applyFont="1" applyFill="1" applyBorder="1" applyAlignment="1" applyProtection="1">
      <alignment vertical="center"/>
      <protection locked="0"/>
    </xf>
    <xf numFmtId="3" fontId="0" fillId="0" borderId="30" xfId="2" applyNumberFormat="1" applyFont="1" applyFill="1" applyBorder="1" applyAlignment="1" applyProtection="1">
      <alignment horizontal="right" vertical="center"/>
      <protection locked="0"/>
    </xf>
    <xf numFmtId="3" fontId="0" fillId="0" borderId="39" xfId="0" applyNumberFormat="1" applyBorder="1" applyAlignment="1">
      <alignment vertical="center"/>
    </xf>
    <xf numFmtId="3" fontId="0" fillId="0" borderId="39" xfId="0" applyNumberFormat="1" applyBorder="1" applyAlignment="1" applyProtection="1">
      <alignment horizontal="right" vertical="center"/>
      <protection locked="0"/>
    </xf>
    <xf numFmtId="9" fontId="0" fillId="0" borderId="0" xfId="7" applyFont="1" applyFill="1" applyAlignment="1">
      <alignment horizontal="center"/>
    </xf>
    <xf numFmtId="0" fontId="51" fillId="2" borderId="0" xfId="0" applyFont="1" applyFill="1" applyAlignment="1">
      <alignment horizontal="center" vertical="center"/>
    </xf>
    <xf numFmtId="0" fontId="51" fillId="2" borderId="2" xfId="0" applyFont="1" applyFill="1" applyBorder="1" applyAlignment="1">
      <alignment horizontal="center" vertical="center"/>
    </xf>
    <xf numFmtId="0" fontId="76" fillId="2" borderId="0" xfId="0" applyFont="1" applyFill="1" applyAlignment="1">
      <alignment horizontal="center" vertical="center"/>
    </xf>
    <xf numFmtId="166" fontId="77" fillId="2" borderId="0" xfId="0" applyNumberFormat="1" applyFont="1" applyFill="1" applyAlignment="1" applyProtection="1">
      <alignment horizontal="center" vertical="center"/>
      <protection locked="0"/>
    </xf>
    <xf numFmtId="0" fontId="78" fillId="2" borderId="0" xfId="0" applyFont="1" applyFill="1" applyAlignment="1">
      <alignment horizontal="center" vertical="center"/>
    </xf>
    <xf numFmtId="3" fontId="51" fillId="2" borderId="0" xfId="0" applyNumberFormat="1" applyFont="1" applyFill="1" applyAlignment="1">
      <alignment horizontal="center" vertical="center"/>
    </xf>
    <xf numFmtId="0" fontId="79" fillId="2" borderId="17" xfId="0" applyFont="1" applyFill="1" applyBorder="1" applyAlignment="1">
      <alignment horizontal="center" vertical="center"/>
    </xf>
    <xf numFmtId="3" fontId="80" fillId="2" borderId="73" xfId="0" applyNumberFormat="1" applyFont="1" applyFill="1" applyBorder="1" applyAlignment="1" applyProtection="1">
      <alignment horizontal="center" vertical="center"/>
      <protection locked="0"/>
    </xf>
    <xf numFmtId="3" fontId="80" fillId="2" borderId="78" xfId="0" applyNumberFormat="1" applyFont="1" applyFill="1" applyBorder="1" applyAlignment="1" applyProtection="1">
      <alignment horizontal="center" vertical="center"/>
      <protection locked="0"/>
    </xf>
    <xf numFmtId="3" fontId="79" fillId="2" borderId="28" xfId="0" applyNumberFormat="1" applyFont="1" applyFill="1" applyBorder="1" applyAlignment="1">
      <alignment horizontal="center" vertical="center"/>
    </xf>
    <xf numFmtId="3" fontId="80" fillId="2" borderId="127" xfId="0" applyNumberFormat="1" applyFont="1" applyFill="1" applyBorder="1" applyAlignment="1" applyProtection="1">
      <alignment horizontal="center" vertical="center"/>
      <protection locked="0"/>
    </xf>
    <xf numFmtId="0" fontId="50" fillId="2" borderId="127" xfId="0" applyFont="1" applyFill="1" applyBorder="1" applyAlignment="1">
      <alignment horizontal="center" vertical="center"/>
    </xf>
    <xf numFmtId="0" fontId="50" fillId="2" borderId="78" xfId="0" applyFont="1" applyFill="1" applyBorder="1" applyAlignment="1">
      <alignment horizontal="center" vertical="center"/>
    </xf>
    <xf numFmtId="3" fontId="51" fillId="2" borderId="127" xfId="0" applyNumberFormat="1" applyFont="1" applyFill="1" applyBorder="1" applyAlignment="1">
      <alignment horizontal="center" vertical="center"/>
    </xf>
    <xf numFmtId="3" fontId="51" fillId="2" borderId="78" xfId="0" applyNumberFormat="1" applyFont="1" applyFill="1" applyBorder="1" applyAlignment="1">
      <alignment horizontal="center" vertical="center"/>
    </xf>
    <xf numFmtId="3" fontId="79" fillId="2" borderId="39" xfId="0" applyNumberFormat="1" applyFont="1" applyFill="1" applyBorder="1" applyAlignment="1">
      <alignment horizontal="center" vertical="center"/>
    </xf>
    <xf numFmtId="0" fontId="50" fillId="2" borderId="73" xfId="0" applyFont="1" applyFill="1" applyBorder="1" applyAlignment="1">
      <alignment horizontal="center" vertical="center"/>
    </xf>
    <xf numFmtId="3" fontId="80" fillId="0" borderId="127" xfId="0" applyNumberFormat="1" applyFont="1" applyBorder="1" applyAlignment="1" applyProtection="1">
      <alignment horizontal="center" vertical="center"/>
      <protection locked="0"/>
    </xf>
    <xf numFmtId="0" fontId="51" fillId="2" borderId="127" xfId="0" applyFont="1" applyFill="1" applyBorder="1" applyAlignment="1">
      <alignment vertical="center"/>
    </xf>
    <xf numFmtId="0" fontId="50" fillId="2" borderId="0" xfId="0" applyFont="1" applyFill="1" applyAlignment="1">
      <alignment horizontal="center" vertical="center"/>
    </xf>
    <xf numFmtId="0" fontId="81" fillId="2" borderId="0" xfId="0" applyFont="1" applyFill="1" applyAlignment="1">
      <alignment horizontal="center" vertical="center"/>
    </xf>
    <xf numFmtId="3" fontId="80" fillId="2" borderId="0" xfId="0" applyNumberFormat="1" applyFont="1" applyFill="1" applyAlignment="1">
      <alignment horizontal="center" vertical="center"/>
    </xf>
    <xf numFmtId="0" fontId="80" fillId="2" borderId="0" xfId="0" applyFont="1" applyFill="1" applyAlignment="1">
      <alignment horizontal="center" vertical="center"/>
    </xf>
    <xf numFmtId="3" fontId="79" fillId="2" borderId="17" xfId="0" applyNumberFormat="1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3" fontId="80" fillId="2" borderId="127" xfId="0" applyNumberFormat="1" applyFont="1" applyFill="1" applyBorder="1" applyAlignment="1">
      <alignment horizontal="center" vertical="center"/>
    </xf>
    <xf numFmtId="3" fontId="79" fillId="2" borderId="115" xfId="0" applyNumberFormat="1" applyFont="1" applyFill="1" applyBorder="1" applyAlignment="1">
      <alignment horizontal="center" vertical="center"/>
    </xf>
    <xf numFmtId="0" fontId="51" fillId="2" borderId="25" xfId="0" applyFont="1" applyFill="1" applyBorder="1" applyAlignment="1">
      <alignment horizontal="center" vertical="center"/>
    </xf>
    <xf numFmtId="164" fontId="0" fillId="2" borderId="19" xfId="2" applyFont="1" applyFill="1" applyBorder="1" applyAlignment="1" applyProtection="1">
      <alignment horizontal="right" vertical="center"/>
      <protection locked="0"/>
    </xf>
    <xf numFmtId="1" fontId="0" fillId="0" borderId="30" xfId="2" applyNumberFormat="1" applyFont="1" applyFill="1" applyBorder="1" applyAlignment="1" applyProtection="1">
      <alignment horizontal="right" vertical="center"/>
      <protection locked="0"/>
    </xf>
    <xf numFmtId="0" fontId="0" fillId="0" borderId="78" xfId="0" applyBorder="1" applyAlignment="1" applyProtection="1">
      <alignment horizontal="right" vertical="center"/>
      <protection locked="0"/>
    </xf>
    <xf numFmtId="1" fontId="0" fillId="0" borderId="60" xfId="2" applyNumberFormat="1" applyFont="1" applyFill="1" applyBorder="1" applyAlignment="1" applyProtection="1">
      <alignment horizontal="right" vertical="center"/>
      <protection locked="0"/>
    </xf>
    <xf numFmtId="169" fontId="0" fillId="0" borderId="60" xfId="0" applyNumberFormat="1" applyBorder="1" applyAlignment="1" applyProtection="1">
      <alignment vertical="center"/>
      <protection locked="0"/>
    </xf>
    <xf numFmtId="1" fontId="0" fillId="0" borderId="104" xfId="2" applyNumberFormat="1" applyFont="1" applyFill="1" applyBorder="1" applyAlignment="1" applyProtection="1">
      <alignment horizontal="right" vertical="center"/>
      <protection locked="0"/>
    </xf>
    <xf numFmtId="3" fontId="18" fillId="0" borderId="17" xfId="2" applyNumberFormat="1" applyFill="1" applyBorder="1" applyAlignment="1" applyProtection="1">
      <alignment horizontal="right" vertical="center"/>
      <protection locked="0"/>
    </xf>
    <xf numFmtId="172" fontId="33" fillId="0" borderId="0" xfId="0" applyNumberFormat="1" applyFont="1" applyAlignment="1">
      <alignment horizontal="left" vertical="top"/>
    </xf>
    <xf numFmtId="0" fontId="1" fillId="21" borderId="73" xfId="0" applyFont="1" applyFill="1" applyBorder="1" applyAlignment="1" applyProtection="1">
      <alignment horizontal="left" vertical="center"/>
      <protection locked="0"/>
    </xf>
    <xf numFmtId="1" fontId="0" fillId="21" borderId="58" xfId="2" applyNumberFormat="1" applyFont="1" applyFill="1" applyBorder="1" applyAlignment="1" applyProtection="1">
      <alignment horizontal="right" vertical="center"/>
      <protection locked="0"/>
    </xf>
    <xf numFmtId="4" fontId="0" fillId="22" borderId="54" xfId="0" applyNumberFormat="1" applyFill="1" applyBorder="1" applyAlignment="1" applyProtection="1">
      <alignment horizontal="right" vertical="center"/>
      <protection locked="0"/>
    </xf>
    <xf numFmtId="169" fontId="0" fillId="21" borderId="54" xfId="0" applyNumberFormat="1" applyFill="1" applyBorder="1" applyAlignment="1" applyProtection="1">
      <alignment vertical="center"/>
      <protection locked="0"/>
    </xf>
    <xf numFmtId="3" fontId="0" fillId="21" borderId="104" xfId="0" applyNumberFormat="1" applyFill="1" applyBorder="1" applyAlignment="1" applyProtection="1">
      <alignment vertical="center"/>
      <protection locked="0"/>
    </xf>
    <xf numFmtId="0" fontId="1" fillId="21" borderId="78" xfId="0" applyFont="1" applyFill="1" applyBorder="1" applyAlignment="1" applyProtection="1">
      <alignment horizontal="left" vertical="center"/>
      <protection locked="0"/>
    </xf>
    <xf numFmtId="1" fontId="0" fillId="21" borderId="39" xfId="2" applyNumberFormat="1" applyFont="1" applyFill="1" applyBorder="1" applyAlignment="1" applyProtection="1">
      <alignment horizontal="right" vertical="center"/>
      <protection locked="0"/>
    </xf>
    <xf numFmtId="4" fontId="0" fillId="22" borderId="39" xfId="0" applyNumberFormat="1" applyFill="1" applyBorder="1" applyAlignment="1" applyProtection="1">
      <alignment horizontal="right" vertical="center"/>
      <protection locked="0"/>
    </xf>
    <xf numFmtId="169" fontId="0" fillId="21" borderId="39" xfId="0" applyNumberFormat="1" applyFill="1" applyBorder="1" applyAlignment="1" applyProtection="1">
      <alignment vertical="center"/>
      <protection locked="0"/>
    </xf>
    <xf numFmtId="3" fontId="0" fillId="21" borderId="39" xfId="0" applyNumberFormat="1" applyFill="1" applyBorder="1" applyAlignment="1" applyProtection="1">
      <alignment vertical="center"/>
      <protection locked="0"/>
    </xf>
    <xf numFmtId="1" fontId="0" fillId="21" borderId="53" xfId="2" applyNumberFormat="1" applyFont="1" applyFill="1" applyBorder="1" applyAlignment="1" applyProtection="1">
      <alignment horizontal="right" vertical="center"/>
      <protection locked="0"/>
    </xf>
    <xf numFmtId="4" fontId="0" fillId="22" borderId="60" xfId="0" applyNumberFormat="1" applyFill="1" applyBorder="1" applyAlignment="1" applyProtection="1">
      <alignment horizontal="right" vertical="center"/>
      <protection locked="0"/>
    </xf>
    <xf numFmtId="169" fontId="0" fillId="21" borderId="60" xfId="0" applyNumberFormat="1" applyFill="1" applyBorder="1" applyAlignment="1" applyProtection="1">
      <alignment vertical="center"/>
      <protection locked="0"/>
    </xf>
    <xf numFmtId="3" fontId="0" fillId="21" borderId="77" xfId="0" applyNumberFormat="1" applyFill="1" applyBorder="1" applyAlignment="1" applyProtection="1">
      <alignment vertical="center"/>
      <protection locked="0"/>
    </xf>
    <xf numFmtId="0" fontId="1" fillId="21" borderId="116" xfId="0" applyFont="1" applyFill="1" applyBorder="1" applyAlignment="1" applyProtection="1">
      <alignment horizontal="left" vertical="center"/>
      <protection locked="0"/>
    </xf>
    <xf numFmtId="0" fontId="1" fillId="22" borderId="73" xfId="0" applyFont="1" applyFill="1" applyBorder="1" applyAlignment="1" applyProtection="1">
      <alignment horizontal="left" vertical="center"/>
      <protection locked="0"/>
    </xf>
    <xf numFmtId="0" fontId="1" fillId="21" borderId="117" xfId="0" applyFont="1" applyFill="1" applyBorder="1" applyAlignment="1" applyProtection="1">
      <alignment horizontal="left" vertical="center"/>
      <protection locked="0"/>
    </xf>
    <xf numFmtId="0" fontId="1" fillId="21" borderId="18" xfId="0" applyFont="1" applyFill="1" applyBorder="1" applyAlignment="1" applyProtection="1">
      <alignment horizontal="left" vertical="center"/>
      <protection locked="0"/>
    </xf>
    <xf numFmtId="0" fontId="0" fillId="22" borderId="75" xfId="0" applyFill="1" applyBorder="1" applyAlignment="1">
      <alignment vertical="center"/>
    </xf>
    <xf numFmtId="0" fontId="0" fillId="22" borderId="79" xfId="0" applyFill="1" applyBorder="1" applyAlignment="1">
      <alignment vertical="center"/>
    </xf>
    <xf numFmtId="3" fontId="0" fillId="22" borderId="54" xfId="0" applyNumberFormat="1" applyFill="1" applyBorder="1" applyAlignment="1" applyProtection="1">
      <alignment vertical="center"/>
      <protection locked="0"/>
    </xf>
    <xf numFmtId="0" fontId="1" fillId="21" borderId="34" xfId="0" applyFont="1" applyFill="1" applyBorder="1" applyAlignment="1" applyProtection="1">
      <alignment horizontal="left" vertical="center"/>
      <protection locked="0"/>
    </xf>
    <xf numFmtId="3" fontId="0" fillId="21" borderId="60" xfId="0" applyNumberFormat="1" applyFill="1" applyBorder="1" applyAlignment="1" applyProtection="1">
      <alignment vertical="center"/>
      <protection locked="0"/>
    </xf>
    <xf numFmtId="0" fontId="1" fillId="21" borderId="53" xfId="0" applyFont="1" applyFill="1" applyBorder="1" applyAlignment="1" applyProtection="1">
      <alignment horizontal="left" vertical="center"/>
      <protection locked="0"/>
    </xf>
    <xf numFmtId="164" fontId="0" fillId="21" borderId="69" xfId="2" applyFont="1" applyFill="1" applyBorder="1" applyAlignment="1" applyProtection="1">
      <alignment horizontal="right" vertical="center"/>
      <protection locked="0"/>
    </xf>
    <xf numFmtId="3" fontId="0" fillId="22" borderId="17" xfId="2" applyNumberFormat="1" applyFont="1" applyFill="1" applyBorder="1" applyAlignment="1" applyProtection="1">
      <alignment horizontal="right" vertical="center"/>
      <protection locked="0"/>
    </xf>
    <xf numFmtId="3" fontId="0" fillId="22" borderId="17" xfId="0" applyNumberFormat="1" applyFill="1" applyBorder="1" applyAlignment="1" applyProtection="1">
      <alignment vertical="center"/>
      <protection locked="0"/>
    </xf>
    <xf numFmtId="3" fontId="0" fillId="21" borderId="17" xfId="0" applyNumberFormat="1" applyFill="1" applyBorder="1" applyAlignment="1" applyProtection="1">
      <alignment vertical="center"/>
      <protection locked="0"/>
    </xf>
    <xf numFmtId="0" fontId="1" fillId="21" borderId="75" xfId="0" applyFont="1" applyFill="1" applyBorder="1" applyAlignment="1" applyProtection="1">
      <alignment horizontal="left" vertical="center"/>
      <protection locked="0"/>
    </xf>
    <xf numFmtId="0" fontId="1" fillId="2" borderId="33" xfId="0" applyFont="1" applyFill="1" applyBorder="1" applyAlignment="1" applyProtection="1">
      <alignment horizontal="left" vertical="center"/>
      <protection locked="0"/>
    </xf>
    <xf numFmtId="0" fontId="0" fillId="2" borderId="126" xfId="0" applyFill="1" applyBorder="1" applyAlignment="1" applyProtection="1">
      <alignment horizontal="right" vertical="center"/>
      <protection locked="0"/>
    </xf>
    <xf numFmtId="164" fontId="0" fillId="21" borderId="18" xfId="2" applyFont="1" applyFill="1" applyBorder="1" applyAlignment="1" applyProtection="1">
      <alignment horizontal="right" vertical="center"/>
      <protection locked="0"/>
    </xf>
    <xf numFmtId="3" fontId="0" fillId="22" borderId="19" xfId="0" applyNumberFormat="1" applyFill="1" applyBorder="1" applyAlignment="1" applyProtection="1">
      <alignment vertical="center"/>
      <protection locked="0"/>
    </xf>
    <xf numFmtId="3" fontId="0" fillId="22" borderId="35" xfId="0" applyNumberFormat="1" applyFill="1" applyBorder="1" applyAlignment="1" applyProtection="1">
      <alignment vertical="center"/>
      <protection locked="0"/>
    </xf>
    <xf numFmtId="0" fontId="0" fillId="21" borderId="28" xfId="0" applyFill="1" applyBorder="1" applyAlignment="1" applyProtection="1">
      <alignment horizontal="right" vertical="center"/>
      <protection locked="0"/>
    </xf>
    <xf numFmtId="1" fontId="0" fillId="21" borderId="17" xfId="2" applyNumberFormat="1" applyFont="1" applyFill="1" applyBorder="1" applyAlignment="1" applyProtection="1">
      <alignment horizontal="right" vertical="center"/>
      <protection locked="0"/>
    </xf>
    <xf numFmtId="1" fontId="0" fillId="21" borderId="60" xfId="2" applyNumberFormat="1" applyFont="1" applyFill="1" applyBorder="1" applyAlignment="1" applyProtection="1">
      <alignment horizontal="right" vertical="center"/>
      <protection locked="0"/>
    </xf>
    <xf numFmtId="0" fontId="1" fillId="21" borderId="127" xfId="0" applyFont="1" applyFill="1" applyBorder="1" applyAlignment="1" applyProtection="1">
      <alignment horizontal="left" vertical="center"/>
      <protection locked="0"/>
    </xf>
    <xf numFmtId="1" fontId="0" fillId="21" borderId="104" xfId="2" applyNumberFormat="1" applyFont="1" applyFill="1" applyBorder="1" applyAlignment="1" applyProtection="1">
      <alignment horizontal="right" vertical="center"/>
      <protection locked="0"/>
    </xf>
    <xf numFmtId="0" fontId="1" fillId="0" borderId="73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 applyProtection="1">
      <alignment vertical="center"/>
      <protection locked="0"/>
    </xf>
    <xf numFmtId="0" fontId="0" fillId="0" borderId="28" xfId="0" applyBorder="1" applyAlignment="1" applyProtection="1">
      <alignment horizontal="right" vertical="center"/>
      <protection locked="0"/>
    </xf>
    <xf numFmtId="1" fontId="0" fillId="21" borderId="18" xfId="2" applyNumberFormat="1" applyFont="1" applyFill="1" applyBorder="1" applyAlignment="1" applyProtection="1">
      <alignment horizontal="right" vertical="center"/>
      <protection locked="0"/>
    </xf>
    <xf numFmtId="3" fontId="0" fillId="22" borderId="19" xfId="2" applyNumberFormat="1" applyFont="1" applyFill="1" applyBorder="1" applyAlignment="1" applyProtection="1">
      <alignment horizontal="right" vertical="center"/>
      <protection locked="0"/>
    </xf>
    <xf numFmtId="0" fontId="1" fillId="21" borderId="27" xfId="0" applyFont="1" applyFill="1" applyBorder="1" applyAlignment="1" applyProtection="1">
      <alignment horizontal="left" vertical="center"/>
      <protection locked="0"/>
    </xf>
    <xf numFmtId="164" fontId="0" fillId="21" borderId="28" xfId="2" applyFont="1" applyFill="1" applyBorder="1" applyAlignment="1" applyProtection="1">
      <alignment horizontal="right" vertical="center"/>
      <protection locked="0"/>
    </xf>
    <xf numFmtId="49" fontId="70" fillId="0" borderId="143" xfId="5" applyNumberFormat="1" applyFont="1" applyBorder="1"/>
    <xf numFmtId="0" fontId="3" fillId="0" borderId="31" xfId="0" applyFont="1" applyBorder="1" applyAlignment="1" applyProtection="1">
      <alignment horizontal="center" vertical="center"/>
      <protection hidden="1"/>
    </xf>
    <xf numFmtId="179" fontId="70" fillId="20" borderId="144" xfId="0" applyNumberFormat="1" applyFont="1" applyFill="1" applyBorder="1" applyAlignment="1">
      <alignment horizontal="right"/>
    </xf>
    <xf numFmtId="49" fontId="74" fillId="0" borderId="39" xfId="5" applyNumberFormat="1" applyFont="1" applyBorder="1"/>
    <xf numFmtId="1" fontId="75" fillId="0" borderId="39" xfId="0" applyNumberFormat="1" applyFont="1" applyBorder="1"/>
    <xf numFmtId="172" fontId="72" fillId="20" borderId="39" xfId="3" applyNumberFormat="1" applyFont="1" applyFill="1" applyBorder="1" applyAlignment="1">
      <alignment horizontal="center"/>
    </xf>
    <xf numFmtId="179" fontId="72" fillId="20" borderId="39" xfId="0" applyNumberFormat="1" applyFont="1" applyFill="1" applyBorder="1" applyAlignment="1">
      <alignment horizontal="right"/>
    </xf>
    <xf numFmtId="174" fontId="72" fillId="20" borderId="39" xfId="0" applyNumberFormat="1" applyFont="1" applyFill="1" applyBorder="1" applyAlignment="1">
      <alignment horizontal="center"/>
    </xf>
    <xf numFmtId="180" fontId="73" fillId="20" borderId="39" xfId="0" applyNumberFormat="1" applyFont="1" applyFill="1" applyBorder="1"/>
    <xf numFmtId="49" fontId="72" fillId="0" borderId="39" xfId="5" applyNumberFormat="1" applyFont="1" applyBorder="1"/>
    <xf numFmtId="176" fontId="72" fillId="20" borderId="39" xfId="0" applyNumberFormat="1" applyFont="1" applyFill="1" applyBorder="1" applyAlignment="1">
      <alignment horizontal="center"/>
    </xf>
    <xf numFmtId="179" fontId="72" fillId="20" borderId="39" xfId="0" applyNumberFormat="1" applyFont="1" applyFill="1" applyBorder="1"/>
    <xf numFmtId="1" fontId="82" fillId="0" borderId="135" xfId="5" applyNumberFormat="1" applyFont="1" applyBorder="1" applyAlignment="1">
      <alignment horizontal="center"/>
    </xf>
    <xf numFmtId="173" fontId="83" fillId="0" borderId="39" xfId="5" applyNumberFormat="1" applyFont="1" applyBorder="1" applyAlignment="1">
      <alignment horizontal="center"/>
    </xf>
    <xf numFmtId="1" fontId="83" fillId="0" borderId="137" xfId="0" applyNumberFormat="1" applyFont="1" applyBorder="1" applyAlignment="1">
      <alignment horizontal="center"/>
    </xf>
    <xf numFmtId="1" fontId="83" fillId="0" borderId="145" xfId="0" applyNumberFormat="1" applyFont="1" applyBorder="1" applyAlignment="1">
      <alignment horizontal="center"/>
    </xf>
    <xf numFmtId="179" fontId="70" fillId="20" borderId="82" xfId="0" applyNumberFormat="1" applyFont="1" applyFill="1" applyBorder="1" applyAlignment="1">
      <alignment horizontal="right"/>
    </xf>
    <xf numFmtId="1" fontId="71" fillId="0" borderId="39" xfId="0" applyNumberFormat="1" applyFont="1" applyBorder="1"/>
    <xf numFmtId="179" fontId="72" fillId="0" borderId="39" xfId="0" applyNumberFormat="1" applyFont="1" applyBorder="1"/>
    <xf numFmtId="1" fontId="0" fillId="0" borderId="18" xfId="2" applyNumberFormat="1" applyFont="1" applyFill="1" applyBorder="1" applyAlignment="1" applyProtection="1">
      <alignment horizontal="right" vertical="center"/>
      <protection locked="0"/>
    </xf>
    <xf numFmtId="3" fontId="0" fillId="0" borderId="30" xfId="0" applyNumberFormat="1" applyBorder="1" applyAlignment="1" applyProtection="1">
      <alignment vertical="center"/>
      <protection locked="0"/>
    </xf>
    <xf numFmtId="0" fontId="1" fillId="0" borderId="62" xfId="0" applyFont="1" applyBorder="1" applyAlignment="1">
      <alignment horizontal="center"/>
    </xf>
    <xf numFmtId="3" fontId="1" fillId="0" borderId="88" xfId="0" applyNumberFormat="1" applyFont="1" applyBorder="1" applyAlignment="1">
      <alignment horizontal="center"/>
    </xf>
    <xf numFmtId="0" fontId="1" fillId="0" borderId="88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183" fontId="84" fillId="0" borderId="0" xfId="0" applyNumberFormat="1" applyFont="1" applyAlignment="1">
      <alignment horizontal="center"/>
    </xf>
    <xf numFmtId="183" fontId="85" fillId="0" borderId="0" xfId="0" applyNumberFormat="1" applyFont="1" applyAlignment="1">
      <alignment horizontal="center"/>
    </xf>
    <xf numFmtId="183" fontId="86" fillId="2" borderId="52" xfId="0" applyNumberFormat="1" applyFont="1" applyFill="1" applyBorder="1" applyAlignment="1" applyProtection="1">
      <alignment horizontal="right" vertical="center"/>
      <protection hidden="1"/>
    </xf>
    <xf numFmtId="0" fontId="0" fillId="0" borderId="52" xfId="0" applyBorder="1"/>
    <xf numFmtId="0" fontId="0" fillId="2" borderId="146" xfId="0" applyFill="1" applyBorder="1" applyAlignment="1">
      <alignment horizontal="right" vertical="center"/>
    </xf>
    <xf numFmtId="0" fontId="3" fillId="2" borderId="147" xfId="0" applyFont="1" applyFill="1" applyBorder="1" applyAlignment="1">
      <alignment horizontal="center" vertical="center"/>
    </xf>
    <xf numFmtId="0" fontId="3" fillId="2" borderId="148" xfId="0" applyFont="1" applyFill="1" applyBorder="1" applyAlignment="1">
      <alignment horizontal="center" vertical="center"/>
    </xf>
    <xf numFmtId="0" fontId="3" fillId="2" borderId="149" xfId="0" applyFont="1" applyFill="1" applyBorder="1" applyAlignment="1">
      <alignment horizontal="center" vertical="center"/>
    </xf>
    <xf numFmtId="0" fontId="0" fillId="13" borderId="39" xfId="0" applyFill="1" applyBorder="1" applyAlignment="1" applyProtection="1">
      <alignment horizontal="right" vertical="center"/>
      <protection locked="0"/>
    </xf>
    <xf numFmtId="9" fontId="8" fillId="8" borderId="39" xfId="0" applyNumberFormat="1" applyFont="1" applyFill="1" applyBorder="1" applyAlignment="1">
      <alignment horizontal="center" vertical="center"/>
    </xf>
    <xf numFmtId="0" fontId="84" fillId="13" borderId="39" xfId="0" applyFont="1" applyFill="1" applyBorder="1" applyAlignment="1" applyProtection="1">
      <alignment horizontal="right" vertical="center"/>
      <protection locked="0"/>
    </xf>
    <xf numFmtId="183" fontId="85" fillId="13" borderId="39" xfId="0" applyNumberFormat="1" applyFont="1" applyFill="1" applyBorder="1" applyAlignment="1" applyProtection="1">
      <alignment horizontal="center" vertical="center"/>
      <protection locked="0"/>
    </xf>
    <xf numFmtId="3" fontId="0" fillId="22" borderId="17" xfId="0" applyNumberFormat="1" applyFill="1" applyBorder="1" applyAlignment="1" applyProtection="1">
      <alignment horizontal="right" vertical="center"/>
      <protection locked="0"/>
    </xf>
    <xf numFmtId="0" fontId="0" fillId="22" borderId="18" xfId="0" applyFill="1" applyBorder="1" applyAlignment="1" applyProtection="1">
      <alignment vertical="center"/>
      <protection locked="0"/>
    </xf>
    <xf numFmtId="0" fontId="1" fillId="21" borderId="128" xfId="0" applyFont="1" applyFill="1" applyBorder="1" applyAlignment="1" applyProtection="1">
      <alignment horizontal="left" vertical="center"/>
      <protection locked="0"/>
    </xf>
    <xf numFmtId="3" fontId="0" fillId="21" borderId="19" xfId="0" applyNumberFormat="1" applyFill="1" applyBorder="1" applyAlignment="1" applyProtection="1">
      <alignment vertical="center"/>
      <protection locked="0"/>
    </xf>
    <xf numFmtId="0" fontId="15" fillId="6" borderId="0" xfId="0" applyFont="1" applyFill="1" applyAlignment="1">
      <alignment vertical="center"/>
    </xf>
    <xf numFmtId="3" fontId="0" fillId="6" borderId="4" xfId="0" applyNumberFormat="1" applyFill="1" applyBorder="1" applyAlignment="1">
      <alignment horizontal="center" vertical="center"/>
    </xf>
    <xf numFmtId="0" fontId="50" fillId="6" borderId="0" xfId="0" applyFont="1" applyFill="1" applyAlignment="1">
      <alignment horizontal="center" vertical="center"/>
    </xf>
    <xf numFmtId="0" fontId="67" fillId="6" borderId="0" xfId="0" applyFont="1" applyFill="1" applyAlignment="1">
      <alignment horizontal="center" vertical="center"/>
    </xf>
    <xf numFmtId="0" fontId="1" fillId="6" borderId="34" xfId="0" applyFont="1" applyFill="1" applyBorder="1" applyAlignment="1" applyProtection="1">
      <alignment horizontal="left" vertical="center"/>
      <protection locked="0"/>
    </xf>
    <xf numFmtId="1" fontId="0" fillId="6" borderId="53" xfId="2" applyNumberFormat="1" applyFont="1" applyFill="1" applyBorder="1" applyAlignment="1" applyProtection="1">
      <alignment horizontal="right" vertical="center"/>
      <protection locked="0"/>
    </xf>
    <xf numFmtId="4" fontId="0" fillId="23" borderId="60" xfId="0" applyNumberFormat="1" applyFill="1" applyBorder="1" applyAlignment="1" applyProtection="1">
      <alignment horizontal="right" vertical="center"/>
      <protection locked="0"/>
    </xf>
    <xf numFmtId="169" fontId="0" fillId="6" borderId="60" xfId="0" applyNumberFormat="1" applyFill="1" applyBorder="1" applyAlignment="1" applyProtection="1">
      <alignment vertical="center"/>
      <protection locked="0"/>
    </xf>
    <xf numFmtId="3" fontId="0" fillId="6" borderId="60" xfId="0" applyNumberFormat="1" applyFill="1" applyBorder="1" applyAlignment="1" applyProtection="1">
      <alignment vertical="center"/>
      <protection locked="0"/>
    </xf>
    <xf numFmtId="0" fontId="0" fillId="6" borderId="79" xfId="0" applyFill="1" applyBorder="1" applyAlignment="1">
      <alignment vertical="center"/>
    </xf>
    <xf numFmtId="0" fontId="0" fillId="6" borderId="76" xfId="0" applyFill="1" applyBorder="1" applyAlignment="1">
      <alignment vertical="center"/>
    </xf>
    <xf numFmtId="171" fontId="26" fillId="6" borderId="8" xfId="0" applyNumberFormat="1" applyFont="1" applyFill="1" applyBorder="1" applyAlignment="1">
      <alignment horizontal="center" vertical="center"/>
    </xf>
    <xf numFmtId="0" fontId="0" fillId="23" borderId="4" xfId="0" applyFill="1" applyBorder="1" applyAlignment="1">
      <alignment horizontal="center" vertical="center"/>
    </xf>
    <xf numFmtId="164" fontId="0" fillId="6" borderId="18" xfId="2" applyFont="1" applyFill="1" applyBorder="1" applyAlignment="1" applyProtection="1">
      <alignment horizontal="right" vertical="center"/>
      <protection locked="0"/>
    </xf>
    <xf numFmtId="3" fontId="0" fillId="6" borderId="19" xfId="0" applyNumberFormat="1" applyFill="1" applyBorder="1" applyAlignment="1" applyProtection="1">
      <alignment vertical="center"/>
      <protection locked="0"/>
    </xf>
    <xf numFmtId="3" fontId="0" fillId="6" borderId="35" xfId="0" applyNumberFormat="1" applyFill="1" applyBorder="1" applyAlignment="1" applyProtection="1">
      <alignment vertical="center"/>
      <protection locked="0"/>
    </xf>
    <xf numFmtId="3" fontId="1" fillId="6" borderId="32" xfId="0" applyNumberFormat="1" applyFont="1" applyFill="1" applyBorder="1" applyAlignment="1" applyProtection="1">
      <alignment vertical="center"/>
      <protection locked="0"/>
    </xf>
    <xf numFmtId="3" fontId="15" fillId="6" borderId="8" xfId="0" applyNumberFormat="1" applyFont="1" applyFill="1" applyBorder="1" applyAlignment="1">
      <alignment vertical="center"/>
    </xf>
    <xf numFmtId="0" fontId="21" fillId="6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4" xfId="0" applyFill="1" applyBorder="1" applyAlignment="1">
      <alignment horizontal="center" vertical="center"/>
    </xf>
    <xf numFmtId="0" fontId="81" fillId="6" borderId="0" xfId="0" applyFont="1" applyFill="1" applyAlignment="1">
      <alignment horizontal="center" vertical="center"/>
    </xf>
    <xf numFmtId="0" fontId="67" fillId="6" borderId="0" xfId="0" applyFont="1" applyFill="1" applyAlignment="1">
      <alignment vertical="center"/>
    </xf>
    <xf numFmtId="0" fontId="1" fillId="6" borderId="53" xfId="0" applyFont="1" applyFill="1" applyBorder="1" applyAlignment="1" applyProtection="1">
      <alignment horizontal="left" vertical="center"/>
      <protection locked="0"/>
    </xf>
    <xf numFmtId="164" fontId="0" fillId="6" borderId="69" xfId="2" applyFont="1" applyFill="1" applyBorder="1" applyAlignment="1" applyProtection="1">
      <alignment horizontal="right" vertical="center"/>
      <protection locked="0"/>
    </xf>
    <xf numFmtId="3" fontId="0" fillId="23" borderId="17" xfId="2" applyNumberFormat="1" applyFont="1" applyFill="1" applyBorder="1" applyAlignment="1" applyProtection="1">
      <alignment horizontal="right" vertical="center"/>
      <protection locked="0"/>
    </xf>
    <xf numFmtId="3" fontId="0" fillId="23" borderId="17" xfId="0" applyNumberFormat="1" applyFill="1" applyBorder="1" applyAlignment="1" applyProtection="1">
      <alignment vertical="center"/>
      <protection locked="0"/>
    </xf>
    <xf numFmtId="3" fontId="0" fillId="6" borderId="17" xfId="0" applyNumberFormat="1" applyFill="1" applyBorder="1" applyAlignment="1" applyProtection="1">
      <alignment vertical="center"/>
      <protection locked="0"/>
    </xf>
    <xf numFmtId="3" fontId="0" fillId="6" borderId="106" xfId="0" applyNumberFormat="1" applyFill="1" applyBorder="1" applyAlignment="1" applyProtection="1">
      <alignment vertical="center"/>
      <protection locked="0"/>
    </xf>
    <xf numFmtId="3" fontId="1" fillId="6" borderId="9" xfId="0" applyNumberFormat="1" applyFont="1" applyFill="1" applyBorder="1" applyAlignment="1" applyProtection="1">
      <alignment vertical="center"/>
      <protection locked="0"/>
    </xf>
    <xf numFmtId="0" fontId="0" fillId="6" borderId="8" xfId="0" applyFill="1" applyBorder="1" applyAlignment="1">
      <alignment vertical="center"/>
    </xf>
    <xf numFmtId="0" fontId="12" fillId="6" borderId="0" xfId="0" applyFont="1" applyFill="1" applyAlignment="1">
      <alignment vertical="center"/>
    </xf>
    <xf numFmtId="164" fontId="0" fillId="21" borderId="34" xfId="2" applyFont="1" applyFill="1" applyBorder="1" applyAlignment="1" applyProtection="1">
      <alignment horizontal="right" vertical="center"/>
      <protection locked="0"/>
    </xf>
    <xf numFmtId="3" fontId="0" fillId="22" borderId="23" xfId="0" applyNumberFormat="1" applyFill="1" applyBorder="1" applyAlignment="1" applyProtection="1">
      <alignment vertical="center"/>
      <protection locked="0"/>
    </xf>
    <xf numFmtId="3" fontId="0" fillId="21" borderId="31" xfId="0" applyNumberFormat="1" applyFill="1" applyBorder="1" applyAlignment="1" applyProtection="1">
      <alignment vertical="center"/>
      <protection locked="0"/>
    </xf>
    <xf numFmtId="0" fontId="0" fillId="22" borderId="9" xfId="0" applyFill="1" applyBorder="1" applyAlignment="1" applyProtection="1">
      <alignment horizontal="right" vertical="center"/>
      <protection locked="0"/>
    </xf>
    <xf numFmtId="3" fontId="1" fillId="22" borderId="23" xfId="0" applyNumberFormat="1" applyFont="1" applyFill="1" applyBorder="1" applyAlignment="1" applyProtection="1">
      <alignment vertical="center"/>
      <protection locked="0"/>
    </xf>
    <xf numFmtId="0" fontId="0" fillId="21" borderId="126" xfId="0" applyFill="1" applyBorder="1" applyAlignment="1" applyProtection="1">
      <alignment horizontal="right" vertical="center"/>
      <protection locked="0"/>
    </xf>
    <xf numFmtId="164" fontId="0" fillId="21" borderId="58" xfId="2" applyFont="1" applyFill="1" applyBorder="1" applyAlignment="1" applyProtection="1">
      <alignment horizontal="right" vertical="center"/>
      <protection locked="0"/>
    </xf>
    <xf numFmtId="3" fontId="0" fillId="21" borderId="54" xfId="0" applyNumberFormat="1" applyFill="1" applyBorder="1" applyAlignment="1" applyProtection="1">
      <alignment vertical="center"/>
      <protection locked="0"/>
    </xf>
    <xf numFmtId="0" fontId="0" fillId="21" borderId="33" xfId="0" applyFill="1" applyBorder="1" applyAlignment="1" applyProtection="1">
      <alignment horizontal="right" vertical="center"/>
      <protection locked="0"/>
    </xf>
    <xf numFmtId="164" fontId="0" fillId="21" borderId="39" xfId="2" applyFont="1" applyFill="1" applyBorder="1" applyAlignment="1" applyProtection="1">
      <alignment horizontal="right" vertical="center"/>
      <protection locked="0"/>
    </xf>
    <xf numFmtId="3" fontId="0" fillId="22" borderId="39" xfId="2" applyNumberFormat="1" applyFont="1" applyFill="1" applyBorder="1" applyAlignment="1" applyProtection="1">
      <alignment horizontal="right" vertical="center"/>
      <protection locked="0"/>
    </xf>
    <xf numFmtId="170" fontId="0" fillId="22" borderId="39" xfId="0" applyNumberFormat="1" applyFill="1" applyBorder="1" applyAlignment="1" applyProtection="1">
      <alignment vertical="center"/>
      <protection locked="0"/>
    </xf>
    <xf numFmtId="3" fontId="0" fillId="0" borderId="28" xfId="2" applyNumberFormat="1" applyFont="1" applyFill="1" applyBorder="1" applyAlignment="1" applyProtection="1">
      <alignment horizontal="right" vertical="center"/>
      <protection locked="0"/>
    </xf>
    <xf numFmtId="3" fontId="0" fillId="11" borderId="39" xfId="0" applyNumberFormat="1" applyFill="1" applyBorder="1" applyAlignment="1" applyProtection="1">
      <alignment horizontal="right" vertical="center"/>
      <protection hidden="1"/>
    </xf>
    <xf numFmtId="0" fontId="1" fillId="22" borderId="34" xfId="0" applyFont="1" applyFill="1" applyBorder="1" applyAlignment="1" applyProtection="1">
      <alignment horizontal="left" vertical="center"/>
      <protection locked="0"/>
    </xf>
    <xf numFmtId="1" fontId="0" fillId="22" borderId="31" xfId="2" applyNumberFormat="1" applyFont="1" applyFill="1" applyBorder="1" applyAlignment="1" applyProtection="1">
      <alignment horizontal="right" vertical="center"/>
      <protection locked="0"/>
    </xf>
    <xf numFmtId="3" fontId="0" fillId="22" borderId="31" xfId="0" applyNumberFormat="1" applyFill="1" applyBorder="1" applyAlignment="1" applyProtection="1">
      <alignment vertical="center"/>
      <protection locked="0"/>
    </xf>
    <xf numFmtId="0" fontId="0" fillId="22" borderId="34" xfId="0" applyFill="1" applyBorder="1" applyAlignment="1" applyProtection="1">
      <alignment vertical="center"/>
      <protection locked="0"/>
    </xf>
    <xf numFmtId="164" fontId="0" fillId="21" borderId="28" xfId="2" applyFont="1" applyFill="1" applyBorder="1" applyAlignment="1" applyProtection="1">
      <alignment horizontal="right" vertical="center"/>
      <protection hidden="1"/>
    </xf>
    <xf numFmtId="0" fontId="1" fillId="22" borderId="18" xfId="0" applyFont="1" applyFill="1" applyBorder="1" applyAlignment="1" applyProtection="1">
      <alignment horizontal="left" vertical="center"/>
      <protection locked="0"/>
    </xf>
    <xf numFmtId="1" fontId="0" fillId="22" borderId="17" xfId="2" applyNumberFormat="1" applyFont="1" applyFill="1" applyBorder="1" applyAlignment="1" applyProtection="1">
      <alignment horizontal="right" vertical="center"/>
      <protection locked="0"/>
    </xf>
    <xf numFmtId="0" fontId="17" fillId="24" borderId="31" xfId="0" applyFont="1" applyFill="1" applyBorder="1" applyAlignment="1">
      <alignment horizontal="right" vertical="center"/>
    </xf>
    <xf numFmtId="3" fontId="0" fillId="24" borderId="17" xfId="0" applyNumberFormat="1" applyFill="1" applyBorder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64" fillId="17" borderId="0" xfId="0" applyFont="1" applyFill="1"/>
    <xf numFmtId="3" fontId="64" fillId="17" borderId="0" xfId="0" applyNumberFormat="1" applyFont="1" applyFill="1" applyAlignment="1">
      <alignment horizontal="center"/>
    </xf>
    <xf numFmtId="0" fontId="3" fillId="0" borderId="0" xfId="0" applyFont="1"/>
    <xf numFmtId="0" fontId="64" fillId="26" borderId="0" xfId="0" applyFont="1" applyFill="1"/>
    <xf numFmtId="0" fontId="3" fillId="26" borderId="0" xfId="0" applyFont="1" applyFill="1"/>
    <xf numFmtId="3" fontId="64" fillId="26" borderId="0" xfId="0" applyNumberFormat="1" applyFont="1" applyFill="1" applyAlignment="1">
      <alignment horizontal="center"/>
    </xf>
    <xf numFmtId="0" fontId="1" fillId="21" borderId="28" xfId="0" applyFont="1" applyFill="1" applyBorder="1" applyAlignment="1" applyProtection="1">
      <alignment horizontal="left" vertical="center"/>
      <protection locked="0"/>
    </xf>
    <xf numFmtId="171" fontId="0" fillId="0" borderId="30" xfId="7" applyNumberFormat="1" applyFont="1" applyFill="1" applyBorder="1" applyAlignment="1" applyProtection="1">
      <alignment vertical="center"/>
      <protection locked="0"/>
    </xf>
    <xf numFmtId="0" fontId="1" fillId="22" borderId="75" xfId="0" applyFont="1" applyFill="1" applyBorder="1" applyAlignment="1" applyProtection="1">
      <alignment horizontal="left" vertical="center"/>
      <protection locked="0"/>
    </xf>
    <xf numFmtId="1" fontId="0" fillId="22" borderId="53" xfId="2" applyNumberFormat="1" applyFont="1" applyFill="1" applyBorder="1" applyAlignment="1" applyProtection="1">
      <alignment horizontal="right" vertical="center"/>
      <protection locked="0"/>
    </xf>
    <xf numFmtId="169" fontId="0" fillId="22" borderId="60" xfId="0" applyNumberFormat="1" applyFill="1" applyBorder="1" applyAlignment="1" applyProtection="1">
      <alignment vertical="center"/>
      <protection locked="0"/>
    </xf>
    <xf numFmtId="0" fontId="0" fillId="22" borderId="80" xfId="0" applyFill="1" applyBorder="1" applyAlignment="1" applyProtection="1">
      <alignment horizontal="right" vertical="center"/>
      <protection locked="0"/>
    </xf>
    <xf numFmtId="1" fontId="0" fillId="22" borderId="39" xfId="2" applyNumberFormat="1" applyFont="1" applyFill="1" applyBorder="1" applyAlignment="1" applyProtection="1">
      <alignment horizontal="right" vertical="center"/>
      <protection locked="0"/>
    </xf>
    <xf numFmtId="3" fontId="0" fillId="22" borderId="39" xfId="0" applyNumberFormat="1" applyFill="1" applyBorder="1" applyAlignment="1" applyProtection="1">
      <alignment horizontal="right" vertical="center"/>
      <protection locked="0"/>
    </xf>
    <xf numFmtId="0" fontId="1" fillId="22" borderId="31" xfId="0" applyFont="1" applyFill="1" applyBorder="1" applyAlignment="1" applyProtection="1">
      <alignment horizontal="left" vertical="center"/>
      <protection locked="0"/>
    </xf>
    <xf numFmtId="3" fontId="0" fillId="22" borderId="60" xfId="0" applyNumberFormat="1" applyFill="1" applyBorder="1" applyAlignment="1" applyProtection="1">
      <alignment vertical="center"/>
      <protection locked="0"/>
    </xf>
    <xf numFmtId="3" fontId="8" fillId="0" borderId="52" xfId="0" applyNumberFormat="1" applyFont="1" applyBorder="1" applyAlignment="1">
      <alignment horizontal="center"/>
    </xf>
    <xf numFmtId="9" fontId="8" fillId="0" borderId="52" xfId="7" applyFont="1" applyFill="1" applyBorder="1" applyAlignment="1">
      <alignment horizontal="center"/>
    </xf>
    <xf numFmtId="0" fontId="50" fillId="2" borderId="2" xfId="0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3" fontId="80" fillId="2" borderId="0" xfId="0" applyNumberFormat="1" applyFont="1" applyFill="1" applyAlignment="1" applyProtection="1">
      <alignment horizontal="center" vertical="center"/>
      <protection locked="0"/>
    </xf>
    <xf numFmtId="3" fontId="79" fillId="2" borderId="55" xfId="0" applyNumberFormat="1" applyFont="1" applyFill="1" applyBorder="1" applyAlignment="1">
      <alignment horizontal="center" vertical="center"/>
    </xf>
    <xf numFmtId="0" fontId="50" fillId="2" borderId="25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171" fontId="28" fillId="2" borderId="52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  <protection locked="0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3" fontId="3" fillId="2" borderId="0" xfId="0" applyNumberFormat="1" applyFont="1" applyFill="1" applyAlignment="1" applyProtection="1">
      <alignment vertical="center"/>
      <protection locked="0"/>
    </xf>
    <xf numFmtId="0" fontId="3" fillId="2" borderId="44" xfId="0" applyFont="1" applyFill="1" applyBorder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4" fontId="8" fillId="11" borderId="83" xfId="0" applyNumberFormat="1" applyFont="1" applyFill="1" applyBorder="1" applyAlignment="1" applyProtection="1">
      <alignment horizontal="center" vertical="center"/>
      <protection hidden="1"/>
    </xf>
    <xf numFmtId="3" fontId="8" fillId="10" borderId="85" xfId="0" applyNumberFormat="1" applyFont="1" applyFill="1" applyBorder="1" applyAlignment="1" applyProtection="1">
      <alignment horizontal="right" vertical="center"/>
      <protection hidden="1"/>
    </xf>
    <xf numFmtId="0" fontId="3" fillId="2" borderId="49" xfId="0" applyFont="1" applyFill="1" applyBorder="1" applyAlignment="1" applyProtection="1">
      <alignment vertical="center"/>
      <protection locked="0"/>
    </xf>
    <xf numFmtId="0" fontId="3" fillId="0" borderId="44" xfId="0" applyFont="1" applyBorder="1"/>
    <xf numFmtId="0" fontId="3" fillId="0" borderId="49" xfId="0" applyFont="1" applyBorder="1"/>
    <xf numFmtId="0" fontId="8" fillId="13" borderId="42" xfId="0" applyFont="1" applyFill="1" applyBorder="1" applyAlignment="1" applyProtection="1">
      <alignment horizontal="center" vertical="center"/>
      <protection locked="0"/>
    </xf>
    <xf numFmtId="0" fontId="8" fillId="13" borderId="10" xfId="0" applyFont="1" applyFill="1" applyBorder="1" applyAlignment="1" applyProtection="1">
      <alignment horizontal="center" vertical="center"/>
      <protection locked="0"/>
    </xf>
    <xf numFmtId="0" fontId="66" fillId="19" borderId="43" xfId="0" applyFont="1" applyFill="1" applyBorder="1" applyAlignment="1">
      <alignment horizontal="center" vertical="center" wrapText="1"/>
    </xf>
    <xf numFmtId="0" fontId="0" fillId="9" borderId="45" xfId="0" applyFill="1" applyBorder="1" applyAlignment="1">
      <alignment horizontal="center" vertical="center" wrapText="1"/>
    </xf>
    <xf numFmtId="0" fontId="0" fillId="9" borderId="46" xfId="0" applyFill="1" applyBorder="1" applyAlignment="1">
      <alignment horizontal="center" vertical="center" wrapText="1"/>
    </xf>
    <xf numFmtId="0" fontId="0" fillId="9" borderId="47" xfId="0" applyFill="1" applyBorder="1" applyAlignment="1">
      <alignment horizontal="center" vertical="center" wrapText="1"/>
    </xf>
    <xf numFmtId="0" fontId="0" fillId="9" borderId="48" xfId="0" applyFill="1" applyBorder="1" applyAlignment="1">
      <alignment horizontal="center" vertical="center" wrapText="1"/>
    </xf>
    <xf numFmtId="0" fontId="0" fillId="9" borderId="50" xfId="0" applyFill="1" applyBorder="1" applyAlignment="1">
      <alignment horizontal="center" vertical="center" wrapText="1"/>
    </xf>
    <xf numFmtId="0" fontId="60" fillId="16" borderId="42" xfId="0" applyFont="1" applyFill="1" applyBorder="1" applyAlignment="1" applyProtection="1">
      <alignment horizontal="center" vertical="center"/>
      <protection locked="0"/>
    </xf>
    <xf numFmtId="0" fontId="60" fillId="16" borderId="10" xfId="0" applyFont="1" applyFill="1" applyBorder="1" applyAlignment="1" applyProtection="1">
      <alignment horizontal="center" vertical="center"/>
      <protection locked="0"/>
    </xf>
    <xf numFmtId="0" fontId="64" fillId="16" borderId="42" xfId="0" applyFont="1" applyFill="1" applyBorder="1" applyAlignment="1" applyProtection="1">
      <alignment horizontal="center" vertical="center"/>
      <protection locked="0"/>
    </xf>
    <xf numFmtId="0" fontId="64" fillId="16" borderId="10" xfId="0" applyFont="1" applyFill="1" applyBorder="1" applyAlignment="1" applyProtection="1">
      <alignment horizontal="center" vertical="center"/>
      <protection locked="0"/>
    </xf>
    <xf numFmtId="0" fontId="2" fillId="2" borderId="61" xfId="0" applyFont="1" applyFill="1" applyBorder="1" applyAlignment="1">
      <alignment horizontal="center" vertical="center"/>
    </xf>
    <xf numFmtId="3" fontId="58" fillId="15" borderId="89" xfId="0" applyNumberFormat="1" applyFont="1" applyFill="1" applyBorder="1" applyAlignment="1" applyProtection="1">
      <alignment horizontal="center" vertical="center" wrapText="1"/>
      <protection locked="0"/>
    </xf>
    <xf numFmtId="3" fontId="58" fillId="15" borderId="90" xfId="0" applyNumberFormat="1" applyFont="1" applyFill="1" applyBorder="1" applyAlignment="1" applyProtection="1">
      <alignment horizontal="center" vertical="center" wrapText="1"/>
      <protection locked="0"/>
    </xf>
    <xf numFmtId="3" fontId="58" fillId="15" borderId="91" xfId="0" applyNumberFormat="1" applyFont="1" applyFill="1" applyBorder="1" applyAlignment="1" applyProtection="1">
      <alignment horizontal="center" vertical="center" wrapText="1"/>
      <protection locked="0"/>
    </xf>
    <xf numFmtId="3" fontId="5" fillId="10" borderId="42" xfId="0" applyNumberFormat="1" applyFont="1" applyFill="1" applyBorder="1" applyAlignment="1">
      <alignment horizontal="center" vertical="center"/>
    </xf>
    <xf numFmtId="0" fontId="8" fillId="0" borderId="18" xfId="0" applyFont="1" applyBorder="1" applyAlignment="1" applyProtection="1">
      <alignment horizontal="center" vertical="center"/>
      <protection locked="0"/>
    </xf>
    <xf numFmtId="3" fontId="4" fillId="10" borderId="42" xfId="0" applyNumberFormat="1" applyFont="1" applyFill="1" applyBorder="1" applyAlignment="1">
      <alignment horizontal="center" vertical="center"/>
    </xf>
    <xf numFmtId="0" fontId="8" fillId="2" borderId="53" xfId="0" applyFont="1" applyFill="1" applyBorder="1" applyAlignment="1" applyProtection="1">
      <alignment horizontal="center" vertical="center"/>
      <protection locked="0"/>
    </xf>
    <xf numFmtId="0" fontId="8" fillId="2" borderId="114" xfId="0" applyFont="1" applyFill="1" applyBorder="1" applyAlignment="1" applyProtection="1">
      <alignment horizontal="center" vertical="center"/>
      <protection locked="0"/>
    </xf>
    <xf numFmtId="0" fontId="8" fillId="0" borderId="27" xfId="0" applyFont="1" applyBorder="1" applyAlignment="1" applyProtection="1">
      <alignment horizontal="center" vertical="center"/>
      <protection locked="0"/>
    </xf>
    <xf numFmtId="0" fontId="67" fillId="2" borderId="0" xfId="0" applyFont="1" applyFill="1" applyAlignment="1">
      <alignment horizontal="center" vertical="center"/>
    </xf>
    <xf numFmtId="3" fontId="59" fillId="15" borderId="83" xfId="0" applyNumberFormat="1" applyFont="1" applyFill="1" applyBorder="1" applyAlignment="1" applyProtection="1">
      <alignment horizontal="center" vertical="center" wrapText="1"/>
      <protection locked="0"/>
    </xf>
    <xf numFmtId="0" fontId="59" fillId="15" borderId="84" xfId="0" applyFont="1" applyFill="1" applyBorder="1" applyAlignment="1" applyProtection="1">
      <alignment horizontal="center" vertical="center"/>
      <protection locked="0"/>
    </xf>
    <xf numFmtId="0" fontId="59" fillId="15" borderId="85" xfId="0" applyFont="1" applyFill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8" fillId="2" borderId="27" xfId="0" applyFont="1" applyFill="1" applyBorder="1" applyAlignment="1" applyProtection="1">
      <alignment horizontal="center" vertical="center"/>
      <protection locked="0"/>
    </xf>
    <xf numFmtId="0" fontId="8" fillId="2" borderId="18" xfId="0" applyFont="1" applyFill="1" applyBorder="1" applyAlignment="1" applyProtection="1">
      <alignment horizontal="center" vertical="center"/>
      <protection locked="0"/>
    </xf>
    <xf numFmtId="0" fontId="8" fillId="2" borderId="55" xfId="0" applyFont="1" applyFill="1" applyBorder="1" applyAlignment="1" applyProtection="1">
      <alignment horizontal="center" vertical="center"/>
      <protection locked="0"/>
    </xf>
    <xf numFmtId="0" fontId="87" fillId="2" borderId="61" xfId="0" applyFont="1" applyFill="1" applyBorder="1" applyAlignment="1">
      <alignment horizontal="center" vertical="center"/>
    </xf>
    <xf numFmtId="3" fontId="65" fillId="15" borderId="15" xfId="0" applyNumberFormat="1" applyFont="1" applyFill="1" applyBorder="1" applyAlignment="1" applyProtection="1">
      <alignment horizontal="center" vertical="center" wrapText="1"/>
      <protection locked="0"/>
    </xf>
    <xf numFmtId="0" fontId="65" fillId="15" borderId="15" xfId="0" applyFont="1" applyFill="1" applyBorder="1" applyAlignment="1" applyProtection="1">
      <alignment horizontal="center" vertical="center"/>
      <protection locked="0"/>
    </xf>
    <xf numFmtId="0" fontId="60" fillId="17" borderId="75" xfId="0" applyFont="1" applyFill="1" applyBorder="1" applyAlignment="1">
      <alignment horizontal="center" vertical="top" wrapText="1"/>
    </xf>
    <xf numFmtId="0" fontId="60" fillId="17" borderId="79" xfId="0" applyFont="1" applyFill="1" applyBorder="1" applyAlignment="1">
      <alignment horizontal="center" vertical="top" wrapText="1"/>
    </xf>
    <xf numFmtId="0" fontId="7" fillId="0" borderId="39" xfId="0" applyFont="1" applyBorder="1" applyAlignment="1">
      <alignment horizontal="left" vertical="top" wrapText="1"/>
    </xf>
  </cellXfs>
  <cellStyles count="8">
    <cellStyle name="Hipervínculo" xfId="1" builtinId="8"/>
    <cellStyle name="Millares" xfId="2" builtinId="3"/>
    <cellStyle name="Moneda" xfId="3" builtinId="4"/>
    <cellStyle name="Moneda 2" xfId="4"/>
    <cellStyle name="Normal" xfId="0" builtinId="0"/>
    <cellStyle name="Normal 2" xfId="5"/>
    <cellStyle name="Normal 3" xfId="6"/>
    <cellStyle name="Porcentual" xfId="7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CF305"/>
      <rgbColor rgb="0000FFFF"/>
      <rgbColor rgb="00800080"/>
      <rgbColor rgb="00800000"/>
      <rgbColor rgb="00008080"/>
      <rgbColor rgb="000000FF"/>
      <rgbColor rgb="0000ABEA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FFFF99"/>
      <color rgb="FFFFFF66"/>
      <color rgb="FF66FF33"/>
      <color rgb="FFFABF8F"/>
      <color rgb="FFF991A5"/>
      <color rgb="FFFBB3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rgentores.org.ar/cine/nuevos-minimo-contrato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sicacine.org.ar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ctores.org.ar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sutep.com.ar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sadem.org.ar/tarifas-minimas/" TargetMode="External"/><Relationship Id="rId1" Type="http://schemas.openxmlformats.org/officeDocument/2006/relationships/hyperlink" Target="https://www.sadaic.org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5"/>
  <sheetViews>
    <sheetView topLeftCell="A22" workbookViewId="0">
      <selection activeCell="J59" sqref="J59"/>
    </sheetView>
  </sheetViews>
  <sheetFormatPr baseColWidth="10" defaultRowHeight="12.75"/>
  <cols>
    <col min="8" max="8" width="20.7109375" bestFit="1" customWidth="1"/>
    <col min="9" max="9" width="13.140625" bestFit="1" customWidth="1"/>
    <col min="10" max="10" width="15.7109375" customWidth="1"/>
    <col min="12" max="12" width="4.7109375" customWidth="1"/>
    <col min="13" max="13" width="18.28515625" style="184" bestFit="1" customWidth="1"/>
    <col min="14" max="14" width="9.42578125" style="184" bestFit="1" customWidth="1"/>
    <col min="15" max="15" width="16.7109375" style="914" customWidth="1"/>
  </cols>
  <sheetData>
    <row r="1" spans="2:15" ht="13.5" thickBot="1"/>
    <row r="2" spans="2:15">
      <c r="B2" s="228"/>
      <c r="C2" s="229"/>
      <c r="D2" s="230"/>
      <c r="E2" s="231"/>
      <c r="F2" s="230"/>
      <c r="G2" s="230"/>
      <c r="H2" s="230"/>
      <c r="I2" s="232"/>
      <c r="J2" s="232"/>
      <c r="K2" s="255"/>
    </row>
    <row r="3" spans="2:15" ht="13.5" thickBot="1">
      <c r="B3" s="236"/>
      <c r="C3" s="6"/>
      <c r="D3" s="7"/>
      <c r="E3" s="8"/>
      <c r="F3" s="7"/>
      <c r="G3" s="7"/>
      <c r="H3" s="7"/>
      <c r="I3" s="9"/>
      <c r="J3" s="9"/>
      <c r="K3" s="256"/>
    </row>
    <row r="4" spans="2:15" ht="13.9" customHeight="1">
      <c r="B4" s="236"/>
      <c r="C4" s="1026" t="s">
        <v>741</v>
      </c>
      <c r="D4" s="1027"/>
      <c r="E4" s="512" t="s">
        <v>0</v>
      </c>
      <c r="F4" s="217">
        <v>7</v>
      </c>
      <c r="G4" s="19" t="s">
        <v>1</v>
      </c>
      <c r="H4" s="434">
        <v>0</v>
      </c>
      <c r="I4" s="461" t="s">
        <v>2</v>
      </c>
      <c r="J4" s="21">
        <v>30</v>
      </c>
      <c r="K4" s="256"/>
    </row>
    <row r="5" spans="2:15" ht="15">
      <c r="B5" s="236"/>
      <c r="C5" s="1028"/>
      <c r="D5" s="1029"/>
      <c r="E5" s="513" t="s">
        <v>4</v>
      </c>
      <c r="F5" s="218">
        <v>6</v>
      </c>
      <c r="G5" s="25" t="s">
        <v>5</v>
      </c>
      <c r="H5" s="435">
        <v>0</v>
      </c>
      <c r="I5" s="462" t="s">
        <v>348</v>
      </c>
      <c r="J5" s="279">
        <v>20</v>
      </c>
      <c r="K5" s="256"/>
    </row>
    <row r="6" spans="2:15" ht="15.75" thickBot="1">
      <c r="B6" s="236"/>
      <c r="C6" s="1030"/>
      <c r="D6" s="1031"/>
      <c r="E6" s="513" t="s">
        <v>6</v>
      </c>
      <c r="F6" s="218">
        <v>10</v>
      </c>
      <c r="G6" s="359" t="s">
        <v>235</v>
      </c>
      <c r="H6" s="435">
        <f>5*2.25</f>
        <v>11.25</v>
      </c>
      <c r="I6" s="463" t="s">
        <v>274</v>
      </c>
      <c r="J6" s="280">
        <v>10</v>
      </c>
      <c r="K6" s="256"/>
      <c r="O6" s="914">
        <v>1550</v>
      </c>
    </row>
    <row r="7" spans="2:15" ht="18.75" thickBot="1">
      <c r="B7" s="238"/>
      <c r="C7" s="28"/>
      <c r="D7" s="431" t="s">
        <v>8</v>
      </c>
      <c r="E7" s="30"/>
      <c r="F7" s="30"/>
      <c r="G7" s="454"/>
      <c r="H7" s="455" t="s">
        <v>9</v>
      </c>
      <c r="I7" s="32" t="s">
        <v>10</v>
      </c>
      <c r="J7" s="33" t="s">
        <v>11</v>
      </c>
      <c r="K7" s="257" t="s">
        <v>220</v>
      </c>
      <c r="M7" s="184" t="s">
        <v>679</v>
      </c>
      <c r="N7" s="184" t="s">
        <v>680</v>
      </c>
      <c r="O7" s="915" t="s">
        <v>735</v>
      </c>
    </row>
    <row r="8" spans="2:15" ht="15.75">
      <c r="B8" s="236"/>
      <c r="C8" s="6"/>
      <c r="D8" s="38"/>
      <c r="E8" s="39"/>
      <c r="F8" s="40"/>
      <c r="G8" s="40"/>
      <c r="H8" s="456"/>
      <c r="I8" s="42"/>
      <c r="J8" s="42"/>
      <c r="K8" s="256"/>
      <c r="M8" s="910"/>
    </row>
    <row r="9" spans="2:15" ht="15">
      <c r="B9" s="240"/>
      <c r="C9" s="395">
        <v>1</v>
      </c>
      <c r="D9" s="45" t="s">
        <v>17</v>
      </c>
      <c r="E9" s="46"/>
      <c r="F9" s="47"/>
      <c r="G9" s="47"/>
      <c r="H9" s="457">
        <v>78003750</v>
      </c>
      <c r="I9" s="436">
        <v>0</v>
      </c>
      <c r="J9" s="196">
        <v>78003750</v>
      </c>
      <c r="K9" s="258">
        <f>H9/$H$59</f>
        <v>4.5083465311513554E-2</v>
      </c>
      <c r="M9" s="911">
        <f>'TOP SHEET'!H9</f>
        <v>99066713</v>
      </c>
      <c r="N9" s="806">
        <f>M9/H9</f>
        <v>1.270025005208083</v>
      </c>
      <c r="O9" s="914">
        <f>M9/$O$6</f>
        <v>63914.008387096772</v>
      </c>
    </row>
    <row r="10" spans="2:15" ht="15">
      <c r="B10" s="242"/>
      <c r="C10" s="50"/>
      <c r="D10" s="51"/>
      <c r="E10" s="52"/>
      <c r="F10" s="53"/>
      <c r="G10" s="53"/>
      <c r="H10" s="458"/>
      <c r="I10" s="197"/>
      <c r="J10" s="197"/>
      <c r="K10" s="259"/>
      <c r="M10" s="912"/>
    </row>
    <row r="11" spans="2:15" ht="15">
      <c r="B11" s="240"/>
      <c r="C11" s="395">
        <v>2</v>
      </c>
      <c r="D11" s="45" t="s">
        <v>27</v>
      </c>
      <c r="E11" s="46"/>
      <c r="F11" s="47"/>
      <c r="G11" s="47"/>
      <c r="H11" s="457">
        <v>137000000</v>
      </c>
      <c r="I11" s="436">
        <v>28770000</v>
      </c>
      <c r="J11" s="196">
        <v>165770000</v>
      </c>
      <c r="K11" s="258">
        <f>H11/$H$59</f>
        <v>7.9181254076597055E-2</v>
      </c>
      <c r="M11" s="911">
        <f>'TOP SHEET'!H11</f>
        <v>173313425</v>
      </c>
      <c r="N11" s="806">
        <f>M11/H11</f>
        <v>1.265061496350365</v>
      </c>
      <c r="O11" s="914">
        <f t="shared" ref="O11:O57" si="0">M11/$O$6</f>
        <v>111815.1129032258</v>
      </c>
    </row>
    <row r="12" spans="2:15" ht="15">
      <c r="B12" s="242"/>
      <c r="C12" s="50"/>
      <c r="D12" s="51"/>
      <c r="E12" s="52"/>
      <c r="F12" s="53"/>
      <c r="G12" s="53"/>
      <c r="H12" s="458"/>
      <c r="I12" s="197"/>
      <c r="J12" s="197"/>
      <c r="K12" s="258"/>
      <c r="M12" s="911"/>
    </row>
    <row r="13" spans="2:15" ht="15">
      <c r="B13" s="240"/>
      <c r="C13" s="395">
        <v>3</v>
      </c>
      <c r="D13" s="45" t="s">
        <v>29</v>
      </c>
      <c r="E13" s="46"/>
      <c r="F13" s="47"/>
      <c r="G13" s="47"/>
      <c r="H13" s="457">
        <v>140700000</v>
      </c>
      <c r="I13" s="436">
        <v>22995000</v>
      </c>
      <c r="J13" s="196">
        <v>163695000</v>
      </c>
      <c r="K13" s="258">
        <f>H13/$H$59</f>
        <v>8.1319725902023396E-2</v>
      </c>
      <c r="M13" s="911">
        <f>'TOP SHEET'!H13</f>
        <v>177650740</v>
      </c>
      <c r="N13" s="806">
        <f>M13/H13</f>
        <v>1.2626207533759772</v>
      </c>
      <c r="O13" s="914">
        <f t="shared" si="0"/>
        <v>114613.38064516129</v>
      </c>
    </row>
    <row r="14" spans="2:15" ht="15">
      <c r="B14" s="242"/>
      <c r="C14" s="50"/>
      <c r="D14" s="51"/>
      <c r="E14" s="52"/>
      <c r="F14" s="53"/>
      <c r="G14" s="53"/>
      <c r="H14" s="458"/>
      <c r="I14" s="197"/>
      <c r="J14" s="197"/>
      <c r="K14" s="258"/>
      <c r="M14" s="911"/>
    </row>
    <row r="15" spans="2:15" ht="15">
      <c r="B15" s="240"/>
      <c r="C15" s="395">
        <v>4</v>
      </c>
      <c r="D15" s="45" t="s">
        <v>292</v>
      </c>
      <c r="E15" s="46"/>
      <c r="F15" s="47"/>
      <c r="G15" s="47"/>
      <c r="H15" s="457">
        <v>353212912.3681972</v>
      </c>
      <c r="I15" s="436">
        <v>0</v>
      </c>
      <c r="J15" s="196">
        <v>353212912.3681972</v>
      </c>
      <c r="K15" s="258">
        <f>H15/$H$59</f>
        <v>0.20414482742599294</v>
      </c>
      <c r="M15" s="911">
        <f>'TOP SHEET'!H15</f>
        <v>407498297.48448205</v>
      </c>
      <c r="N15" s="806">
        <f>M15/H15</f>
        <v>1.1536902622056369</v>
      </c>
      <c r="O15" s="914">
        <f t="shared" si="0"/>
        <v>262902.12740934326</v>
      </c>
    </row>
    <row r="16" spans="2:15" ht="15">
      <c r="B16" s="242"/>
      <c r="C16" s="50"/>
      <c r="D16" s="51"/>
      <c r="E16" s="52"/>
      <c r="F16" s="53"/>
      <c r="G16" s="53"/>
      <c r="H16" s="458"/>
      <c r="I16" s="197"/>
      <c r="J16" s="197"/>
      <c r="K16" s="258"/>
      <c r="M16" s="911"/>
    </row>
    <row r="17" spans="2:15" ht="15">
      <c r="B17" s="240"/>
      <c r="C17" s="395">
        <v>5</v>
      </c>
      <c r="D17" s="45" t="s">
        <v>293</v>
      </c>
      <c r="E17" s="46"/>
      <c r="F17" s="47"/>
      <c r="G17" s="47"/>
      <c r="H17" s="457">
        <v>110236110.3056875</v>
      </c>
      <c r="I17" s="436">
        <v>0</v>
      </c>
      <c r="J17" s="196">
        <v>110236110.3056875</v>
      </c>
      <c r="K17" s="258">
        <f>H17/$H$59</f>
        <v>6.3712652981973872E-2</v>
      </c>
      <c r="M17" s="911">
        <f>'TOP SHEET'!H17</f>
        <v>125438729.98532501</v>
      </c>
      <c r="N17" s="806">
        <f>M17/H17</f>
        <v>1.1379096163451365</v>
      </c>
      <c r="O17" s="914">
        <f t="shared" si="0"/>
        <v>80928.212893758071</v>
      </c>
    </row>
    <row r="18" spans="2:15" ht="15">
      <c r="B18" s="242"/>
      <c r="C18" s="50"/>
      <c r="D18" s="51"/>
      <c r="E18" s="52"/>
      <c r="F18" s="53"/>
      <c r="G18" s="53"/>
      <c r="H18" s="458"/>
      <c r="I18" s="197"/>
      <c r="J18" s="197"/>
      <c r="K18" s="258"/>
      <c r="M18" s="911"/>
    </row>
    <row r="19" spans="2:15" ht="15">
      <c r="B19" s="240"/>
      <c r="C19" s="395">
        <v>6</v>
      </c>
      <c r="D19" s="45" t="s">
        <v>99</v>
      </c>
      <c r="E19" s="46"/>
      <c r="F19" s="47"/>
      <c r="G19" s="47"/>
      <c r="H19" s="457">
        <v>129969344.08553556</v>
      </c>
      <c r="I19" s="436">
        <v>0</v>
      </c>
      <c r="J19" s="196">
        <v>129969344.08553556</v>
      </c>
      <c r="K19" s="258">
        <f>H19/$H$59</f>
        <v>7.5117778512448594E-2</v>
      </c>
      <c r="M19" s="911">
        <f>'TOP SHEET'!H19</f>
        <v>150058045.0952388</v>
      </c>
      <c r="N19" s="806">
        <f>M19/H19</f>
        <v>1.1545649179892949</v>
      </c>
      <c r="O19" s="914">
        <f t="shared" si="0"/>
        <v>96811.641996928258</v>
      </c>
    </row>
    <row r="20" spans="2:15" ht="15">
      <c r="B20" s="242"/>
      <c r="C20" s="50"/>
      <c r="D20" s="51"/>
      <c r="E20" s="52"/>
      <c r="F20" s="53"/>
      <c r="G20" s="53"/>
      <c r="H20" s="458"/>
      <c r="I20" s="197"/>
      <c r="J20" s="197"/>
      <c r="K20" s="258"/>
      <c r="M20" s="911"/>
    </row>
    <row r="21" spans="2:15" ht="15">
      <c r="B21" s="240"/>
      <c r="C21" s="395">
        <v>7</v>
      </c>
      <c r="D21" s="45" t="s">
        <v>101</v>
      </c>
      <c r="E21" s="46"/>
      <c r="F21" s="47"/>
      <c r="G21" s="47"/>
      <c r="H21" s="457">
        <v>25200000</v>
      </c>
      <c r="I21" s="436">
        <v>5082000</v>
      </c>
      <c r="J21" s="196">
        <v>30282000</v>
      </c>
      <c r="K21" s="258">
        <f>H21/$H$59</f>
        <v>1.456472702722807E-2</v>
      </c>
      <c r="M21" s="911">
        <f>'TOP SHEET'!H21</f>
        <v>33203520</v>
      </c>
      <c r="N21" s="806">
        <f>M21/H21</f>
        <v>1.3176000000000001</v>
      </c>
      <c r="O21" s="914">
        <f t="shared" si="0"/>
        <v>21421.625806451611</v>
      </c>
    </row>
    <row r="22" spans="2:15" ht="15">
      <c r="B22" s="242"/>
      <c r="C22" s="50"/>
      <c r="D22" s="51"/>
      <c r="E22" s="52"/>
      <c r="F22" s="53"/>
      <c r="G22" s="53"/>
      <c r="H22" s="458"/>
      <c r="I22" s="197"/>
      <c r="J22" s="197"/>
      <c r="K22" s="258"/>
      <c r="M22" s="911"/>
    </row>
    <row r="23" spans="2:15" ht="15">
      <c r="B23" s="240"/>
      <c r="C23" s="395">
        <v>8</v>
      </c>
      <c r="D23" s="45" t="s">
        <v>111</v>
      </c>
      <c r="E23" s="46"/>
      <c r="F23" s="47"/>
      <c r="G23" s="47"/>
      <c r="H23" s="457">
        <v>5100000</v>
      </c>
      <c r="I23" s="436">
        <v>378000</v>
      </c>
      <c r="J23" s="196">
        <v>5478000</v>
      </c>
      <c r="K23" s="258">
        <f>H23/$H$59</f>
        <v>2.9476233269390144E-3</v>
      </c>
      <c r="M23" s="911">
        <f>'TOP SHEET'!H23</f>
        <v>6719760</v>
      </c>
      <c r="N23" s="806">
        <f>M23/H23</f>
        <v>1.3176000000000001</v>
      </c>
      <c r="O23" s="914">
        <f t="shared" si="0"/>
        <v>4335.3290322580642</v>
      </c>
    </row>
    <row r="24" spans="2:15" ht="15">
      <c r="B24" s="242"/>
      <c r="C24" s="50"/>
      <c r="D24" s="51"/>
      <c r="E24" s="52"/>
      <c r="F24" s="53"/>
      <c r="G24" s="53"/>
      <c r="H24" s="458"/>
      <c r="I24" s="197"/>
      <c r="J24" s="197"/>
      <c r="K24" s="258"/>
      <c r="M24" s="911"/>
    </row>
    <row r="25" spans="2:15" ht="15">
      <c r="B25" s="240"/>
      <c r="C25" s="395">
        <v>9</v>
      </c>
      <c r="D25" s="45" t="s">
        <v>114</v>
      </c>
      <c r="E25" s="46"/>
      <c r="F25" s="47"/>
      <c r="G25" s="47"/>
      <c r="H25" s="457">
        <v>30000000</v>
      </c>
      <c r="I25" s="436">
        <v>6300000</v>
      </c>
      <c r="J25" s="196">
        <v>36300000</v>
      </c>
      <c r="K25" s="404">
        <f>H25/$H$59</f>
        <v>1.7338960746700084E-2</v>
      </c>
      <c r="M25" s="911">
        <f>'TOP SHEET'!H25</f>
        <v>39528000</v>
      </c>
      <c r="N25" s="806">
        <f>M25/H25</f>
        <v>1.3176000000000001</v>
      </c>
      <c r="O25" s="914">
        <f t="shared" si="0"/>
        <v>25501.935483870966</v>
      </c>
    </row>
    <row r="26" spans="2:15" ht="15">
      <c r="B26" s="242"/>
      <c r="C26" s="50"/>
      <c r="D26" s="51"/>
      <c r="E26" s="52"/>
      <c r="F26" s="53"/>
      <c r="G26" s="53"/>
      <c r="H26" s="458"/>
      <c r="I26" s="197"/>
      <c r="J26" s="197"/>
      <c r="K26" s="258"/>
      <c r="M26" s="911"/>
    </row>
    <row r="27" spans="2:15" ht="15">
      <c r="B27" s="240"/>
      <c r="C27" s="395">
        <v>10</v>
      </c>
      <c r="D27" s="45" t="s">
        <v>116</v>
      </c>
      <c r="E27" s="46"/>
      <c r="F27" s="47"/>
      <c r="G27" s="47"/>
      <c r="H27" s="457">
        <v>77000000</v>
      </c>
      <c r="I27" s="436">
        <v>16170000</v>
      </c>
      <c r="J27" s="196">
        <v>93170000</v>
      </c>
      <c r="K27" s="404">
        <f>H27/$H$59</f>
        <v>4.4503332583196879E-2</v>
      </c>
      <c r="M27" s="911">
        <f>'TOP SHEET'!H27</f>
        <v>105144480</v>
      </c>
      <c r="N27" s="806">
        <f>M27/H27</f>
        <v>1.3655127272727272</v>
      </c>
      <c r="O27" s="914">
        <f t="shared" si="0"/>
        <v>67835.148387096779</v>
      </c>
    </row>
    <row r="28" spans="2:15" ht="15">
      <c r="B28" s="242"/>
      <c r="C28" s="50"/>
      <c r="D28" s="51"/>
      <c r="E28" s="52"/>
      <c r="F28" s="53"/>
      <c r="G28" s="53"/>
      <c r="H28" s="458"/>
      <c r="I28" s="197"/>
      <c r="J28" s="197"/>
      <c r="K28" s="258"/>
      <c r="M28" s="911"/>
    </row>
    <row r="29" spans="2:15" ht="15">
      <c r="B29" s="240"/>
      <c r="C29" s="395">
        <v>11</v>
      </c>
      <c r="D29" s="45" t="s">
        <v>118</v>
      </c>
      <c r="E29" s="46"/>
      <c r="F29" s="47"/>
      <c r="G29" s="47"/>
      <c r="H29" s="457">
        <v>55540000</v>
      </c>
      <c r="I29" s="436">
        <v>0</v>
      </c>
      <c r="J29" s="196">
        <v>55540000</v>
      </c>
      <c r="K29" s="258">
        <f>H29/$H$59</f>
        <v>3.2100195995724091E-2</v>
      </c>
      <c r="M29" s="911">
        <f>'TOP SHEET'!H29</f>
        <v>61272720</v>
      </c>
      <c r="N29" s="806">
        <f>M29/H29</f>
        <v>1.1032178610010803</v>
      </c>
      <c r="O29" s="914">
        <f t="shared" si="0"/>
        <v>39530.787096774191</v>
      </c>
    </row>
    <row r="30" spans="2:15" ht="15">
      <c r="B30" s="242"/>
      <c r="C30" s="50"/>
      <c r="D30" s="51"/>
      <c r="E30" s="52"/>
      <c r="F30" s="53"/>
      <c r="G30" s="53"/>
      <c r="H30" s="458"/>
      <c r="I30" s="197"/>
      <c r="J30" s="197"/>
      <c r="K30" s="258"/>
      <c r="M30" s="911"/>
    </row>
    <row r="31" spans="2:15" ht="15">
      <c r="B31" s="240"/>
      <c r="C31" s="395">
        <v>12</v>
      </c>
      <c r="D31" s="45" t="s">
        <v>727</v>
      </c>
      <c r="E31" s="46"/>
      <c r="F31" s="47"/>
      <c r="G31" s="47"/>
      <c r="H31" s="457">
        <v>0</v>
      </c>
      <c r="I31" s="436">
        <v>0</v>
      </c>
      <c r="J31" s="196">
        <v>0</v>
      </c>
      <c r="K31" s="258">
        <f>H31/$H$59</f>
        <v>0</v>
      </c>
      <c r="M31" s="911">
        <f>'TOP SHEET'!H31</f>
        <v>0</v>
      </c>
      <c r="N31" s="806"/>
      <c r="O31" s="914">
        <f t="shared" si="0"/>
        <v>0</v>
      </c>
    </row>
    <row r="32" spans="2:15" ht="15">
      <c r="B32" s="242"/>
      <c r="C32" s="50"/>
      <c r="D32" s="51"/>
      <c r="E32" s="52"/>
      <c r="F32" s="53"/>
      <c r="G32" s="53"/>
      <c r="H32" s="458"/>
      <c r="I32" s="197"/>
      <c r="J32" s="197"/>
      <c r="K32" s="258"/>
      <c r="M32" s="911"/>
    </row>
    <row r="33" spans="2:16" ht="15">
      <c r="B33" s="240"/>
      <c r="C33" s="395">
        <v>13</v>
      </c>
      <c r="D33" s="45" t="s">
        <v>125</v>
      </c>
      <c r="E33" s="46"/>
      <c r="F33" s="47"/>
      <c r="G33" s="47"/>
      <c r="H33" s="457">
        <v>35379512.5</v>
      </c>
      <c r="I33" s="436">
        <v>252000</v>
      </c>
      <c r="J33" s="196">
        <v>35631512.5</v>
      </c>
      <c r="K33" s="258">
        <f>H33/$H$59</f>
        <v>2.0448132615829499E-2</v>
      </c>
      <c r="M33" s="911">
        <f>'TOP SHEET'!H33</f>
        <v>48870700.060000002</v>
      </c>
      <c r="N33" s="806">
        <f>M33/H33</f>
        <v>1.3813276839244182</v>
      </c>
      <c r="O33" s="914">
        <f t="shared" si="0"/>
        <v>31529.483909677419</v>
      </c>
    </row>
    <row r="34" spans="2:16" ht="15">
      <c r="B34" s="242"/>
      <c r="C34" s="50"/>
      <c r="D34" s="51"/>
      <c r="E34" s="52"/>
      <c r="F34" s="53"/>
      <c r="G34" s="53"/>
      <c r="H34" s="458"/>
      <c r="I34" s="197"/>
      <c r="J34" s="197"/>
      <c r="K34" s="258"/>
      <c r="M34" s="911"/>
    </row>
    <row r="35" spans="2:16" ht="15">
      <c r="B35" s="240"/>
      <c r="C35" s="395">
        <v>14</v>
      </c>
      <c r="D35" s="45" t="s">
        <v>728</v>
      </c>
      <c r="E35" s="46"/>
      <c r="F35" s="47"/>
      <c r="G35" s="47"/>
      <c r="H35" s="457">
        <v>15300000</v>
      </c>
      <c r="I35" s="436">
        <v>1638000</v>
      </c>
      <c r="J35" s="196">
        <v>16938000</v>
      </c>
      <c r="K35" s="404">
        <f>H35/$H$59</f>
        <v>8.8428699808170419E-3</v>
      </c>
      <c r="M35" s="911">
        <f>'TOP SHEET'!H35</f>
        <v>26100000</v>
      </c>
      <c r="N35" s="806">
        <f>M35/H35</f>
        <v>1.7058823529411764</v>
      </c>
      <c r="O35" s="914">
        <f t="shared" si="0"/>
        <v>16838.709677419356</v>
      </c>
    </row>
    <row r="36" spans="2:16" ht="15">
      <c r="B36" s="242"/>
      <c r="C36" s="50"/>
      <c r="D36" s="51"/>
      <c r="E36" s="52"/>
      <c r="F36" s="53"/>
      <c r="G36" s="53"/>
      <c r="H36" s="458"/>
      <c r="I36" s="197"/>
      <c r="J36" s="197"/>
      <c r="K36" s="258"/>
      <c r="M36" s="911"/>
    </row>
    <row r="37" spans="2:16" ht="15">
      <c r="B37" s="240"/>
      <c r="C37" s="395">
        <v>15</v>
      </c>
      <c r="D37" s="45" t="s">
        <v>729</v>
      </c>
      <c r="E37" s="46"/>
      <c r="F37" s="47"/>
      <c r="G37" s="47"/>
      <c r="H37" s="457">
        <v>31500000</v>
      </c>
      <c r="I37" s="436">
        <v>3465000</v>
      </c>
      <c r="J37" s="196">
        <v>34965000</v>
      </c>
      <c r="K37" s="258">
        <f>H37/$H$59</f>
        <v>1.8205908784035087E-2</v>
      </c>
      <c r="M37" s="911">
        <f>'TOP SHEET'!H37</f>
        <v>44349000</v>
      </c>
      <c r="N37" s="806">
        <f>M37/H37</f>
        <v>1.407904761904762</v>
      </c>
      <c r="O37" s="914">
        <f t="shared" si="0"/>
        <v>28612.258064516129</v>
      </c>
    </row>
    <row r="38" spans="2:16" ht="15">
      <c r="B38" s="242"/>
      <c r="C38" s="50"/>
      <c r="D38" s="51"/>
      <c r="E38" s="52"/>
      <c r="F38" s="53"/>
      <c r="G38" s="53"/>
      <c r="H38" s="458"/>
      <c r="I38" s="197"/>
      <c r="J38" s="197"/>
      <c r="K38" s="258"/>
      <c r="M38" s="911"/>
    </row>
    <row r="39" spans="2:16" ht="15.75" thickBot="1">
      <c r="B39" s="240"/>
      <c r="C39" s="395">
        <v>16</v>
      </c>
      <c r="D39" s="45" t="s">
        <v>131</v>
      </c>
      <c r="E39" s="46"/>
      <c r="F39" s="47"/>
      <c r="G39" s="47"/>
      <c r="H39" s="457">
        <v>9050000</v>
      </c>
      <c r="I39" s="436">
        <v>1879500</v>
      </c>
      <c r="J39" s="196">
        <v>10929500</v>
      </c>
      <c r="K39" s="258">
        <f>H39/$H$59</f>
        <v>5.2305864919211919E-3</v>
      </c>
      <c r="M39" s="911">
        <f>'TOP SHEET'!H39</f>
        <v>10296720</v>
      </c>
      <c r="N39" s="806">
        <f>M39/H39</f>
        <v>1.1377591160220994</v>
      </c>
      <c r="O39" s="914">
        <f t="shared" si="0"/>
        <v>6643.0451612903225</v>
      </c>
    </row>
    <row r="40" spans="2:16" ht="15.75" thickBot="1">
      <c r="B40" s="242"/>
      <c r="C40" s="50"/>
      <c r="D40" s="51"/>
      <c r="E40" s="52"/>
      <c r="F40" s="53"/>
      <c r="G40" s="53"/>
      <c r="H40" s="458"/>
      <c r="I40" s="197"/>
      <c r="J40" s="197"/>
      <c r="K40" s="258"/>
      <c r="M40" s="911"/>
      <c r="P40" s="917"/>
    </row>
    <row r="41" spans="2:16" ht="15">
      <c r="B41" s="240"/>
      <c r="C41" s="395">
        <v>17</v>
      </c>
      <c r="D41" s="45" t="s">
        <v>730</v>
      </c>
      <c r="E41" s="46"/>
      <c r="F41" s="47"/>
      <c r="G41" s="47"/>
      <c r="H41" s="457">
        <v>22500000</v>
      </c>
      <c r="I41" s="436">
        <v>4725000</v>
      </c>
      <c r="J41" s="196">
        <v>27225000</v>
      </c>
      <c r="K41" s="404">
        <f>H41/$H$59</f>
        <v>1.3004220560025063E-2</v>
      </c>
      <c r="M41" s="911">
        <f>'TOP SHEET'!H41</f>
        <v>33920000</v>
      </c>
      <c r="N41" s="806">
        <f>M41/H41</f>
        <v>1.5075555555555555</v>
      </c>
      <c r="O41" s="914">
        <f t="shared" si="0"/>
        <v>21883.870967741936</v>
      </c>
    </row>
    <row r="42" spans="2:16" ht="15">
      <c r="B42" s="242"/>
      <c r="C42" s="50"/>
      <c r="D42" s="51"/>
      <c r="E42" s="52"/>
      <c r="F42" s="53"/>
      <c r="G42" s="53"/>
      <c r="H42" s="458"/>
      <c r="I42" s="197"/>
      <c r="J42" s="197"/>
      <c r="K42" s="258"/>
      <c r="M42" s="911"/>
    </row>
    <row r="43" spans="2:16" ht="15">
      <c r="B43" s="240"/>
      <c r="C43" s="395">
        <v>18</v>
      </c>
      <c r="D43" s="45" t="s">
        <v>731</v>
      </c>
      <c r="E43" s="46"/>
      <c r="F43" s="47"/>
      <c r="G43" s="47"/>
      <c r="H43" s="457">
        <v>116096500</v>
      </c>
      <c r="I43" s="436">
        <v>24380265</v>
      </c>
      <c r="J43" s="196">
        <v>140476765</v>
      </c>
      <c r="K43" s="258">
        <f>H43/$H$59</f>
        <v>6.709975521097554E-2</v>
      </c>
      <c r="M43" s="911">
        <f>'TOP SHEET'!H43</f>
        <v>149157438.48000002</v>
      </c>
      <c r="N43" s="806">
        <f>M43/H43</f>
        <v>1.2847711901736918</v>
      </c>
      <c r="O43" s="914">
        <f t="shared" si="0"/>
        <v>96230.605470967756</v>
      </c>
    </row>
    <row r="44" spans="2:16" ht="15">
      <c r="B44" s="242"/>
      <c r="C44" s="50"/>
      <c r="D44" s="51"/>
      <c r="E44" s="52"/>
      <c r="F44" s="53"/>
      <c r="G44" s="53"/>
      <c r="H44" s="458"/>
      <c r="I44" s="197"/>
      <c r="J44" s="197"/>
      <c r="K44" s="258"/>
      <c r="M44" s="911"/>
    </row>
    <row r="45" spans="2:16" ht="15">
      <c r="B45" s="240"/>
      <c r="C45" s="395">
        <v>19</v>
      </c>
      <c r="D45" s="45" t="s">
        <v>732</v>
      </c>
      <c r="E45" s="46"/>
      <c r="F45" s="47"/>
      <c r="G45" s="47"/>
      <c r="H45" s="457">
        <v>25000000</v>
      </c>
      <c r="I45" s="436">
        <v>5250000</v>
      </c>
      <c r="J45" s="196">
        <v>30250000</v>
      </c>
      <c r="K45" s="258">
        <f>H45/$H$59</f>
        <v>1.4449133955583403E-2</v>
      </c>
      <c r="M45" s="911">
        <f>'TOP SHEET'!H45</f>
        <v>32940000</v>
      </c>
      <c r="N45" s="806">
        <f>M45/H45</f>
        <v>1.3176000000000001</v>
      </c>
      <c r="O45" s="914">
        <f t="shared" si="0"/>
        <v>21251.612903225807</v>
      </c>
    </row>
    <row r="46" spans="2:16" ht="15">
      <c r="B46" s="242"/>
      <c r="C46" s="50"/>
      <c r="D46" s="51"/>
      <c r="E46" s="52"/>
      <c r="F46" s="53"/>
      <c r="G46" s="53"/>
      <c r="H46" s="458"/>
      <c r="I46" s="197"/>
      <c r="J46" s="197"/>
      <c r="K46" s="258"/>
      <c r="M46" s="911"/>
    </row>
    <row r="47" spans="2:16" ht="15">
      <c r="B47" s="240"/>
      <c r="C47" s="395">
        <v>20</v>
      </c>
      <c r="D47" s="45" t="s">
        <v>141</v>
      </c>
      <c r="E47" s="46"/>
      <c r="F47" s="47"/>
      <c r="G47" s="47"/>
      <c r="H47" s="457">
        <v>75793125</v>
      </c>
      <c r="I47" s="436">
        <v>13993875</v>
      </c>
      <c r="J47" s="196">
        <v>89787000</v>
      </c>
      <c r="K47" s="258">
        <f>H47/$H$59</f>
        <v>4.3805800641491095E-2</v>
      </c>
      <c r="M47" s="911">
        <f>'TOP SHEET'!H47</f>
        <v>110721400</v>
      </c>
      <c r="N47" s="806">
        <f>M47/H47</f>
        <v>1.4608369822460809</v>
      </c>
      <c r="O47" s="914">
        <f t="shared" si="0"/>
        <v>71433.161290322576</v>
      </c>
    </row>
    <row r="48" spans="2:16" ht="15">
      <c r="B48" s="242"/>
      <c r="C48" s="50"/>
      <c r="D48" s="51"/>
      <c r="E48" s="52"/>
      <c r="F48" s="53"/>
      <c r="G48" s="53"/>
      <c r="H48" s="458"/>
      <c r="I48" s="197"/>
      <c r="J48" s="197"/>
      <c r="K48" s="258"/>
      <c r="M48" s="911"/>
    </row>
    <row r="49" spans="2:15" ht="15">
      <c r="B49" s="240"/>
      <c r="C49" s="395">
        <v>21</v>
      </c>
      <c r="D49" s="45" t="s">
        <v>155</v>
      </c>
      <c r="E49" s="46"/>
      <c r="F49" s="47"/>
      <c r="G49" s="47"/>
      <c r="H49" s="457">
        <v>11125000</v>
      </c>
      <c r="I49" s="436">
        <v>2336250</v>
      </c>
      <c r="J49" s="196">
        <v>13461250</v>
      </c>
      <c r="K49" s="258">
        <f>H49/$H$59</f>
        <v>6.4298646102346141E-3</v>
      </c>
      <c r="M49" s="911">
        <f>'TOP SHEET'!H49</f>
        <v>14575291.199999999</v>
      </c>
      <c r="N49" s="806">
        <f>M49/H49</f>
        <v>1.3101385348314607</v>
      </c>
      <c r="O49" s="914">
        <f t="shared" si="0"/>
        <v>9403.4136774193539</v>
      </c>
    </row>
    <row r="50" spans="2:15" ht="15">
      <c r="B50" s="242"/>
      <c r="C50" s="50"/>
      <c r="D50" s="51"/>
      <c r="E50" s="52"/>
      <c r="F50" s="53"/>
      <c r="G50" s="53"/>
      <c r="H50" s="458"/>
      <c r="I50" s="197"/>
      <c r="J50" s="197"/>
      <c r="K50" s="258"/>
      <c r="M50" s="911"/>
    </row>
    <row r="51" spans="2:15" ht="15">
      <c r="B51" s="240"/>
      <c r="C51" s="395">
        <v>22</v>
      </c>
      <c r="D51" s="45" t="s">
        <v>159</v>
      </c>
      <c r="E51" s="268"/>
      <c r="F51" s="47"/>
      <c r="G51" s="47"/>
      <c r="H51" s="457">
        <v>125481250</v>
      </c>
      <c r="I51" s="436">
        <v>26272312.5</v>
      </c>
      <c r="J51" s="196">
        <v>151753562.5</v>
      </c>
      <c r="K51" s="258">
        <f>H51/$H$59</f>
        <v>7.2523815606562E-2</v>
      </c>
      <c r="M51" s="911">
        <f>'TOP SHEET'!H51</f>
        <v>179522611.19999999</v>
      </c>
      <c r="N51" s="806">
        <f>M51/H51</f>
        <v>1.4306727993226078</v>
      </c>
      <c r="O51" s="914">
        <f t="shared" si="0"/>
        <v>115821.03948387096</v>
      </c>
    </row>
    <row r="52" spans="2:15" ht="15">
      <c r="B52" s="242"/>
      <c r="C52" s="50"/>
      <c r="D52" s="51"/>
      <c r="E52" s="52"/>
      <c r="F52" s="53"/>
      <c r="G52" s="53"/>
      <c r="H52" s="458"/>
      <c r="I52" s="197"/>
      <c r="J52" s="197"/>
      <c r="K52" s="404"/>
      <c r="M52" s="911"/>
    </row>
    <row r="53" spans="2:15" ht="15">
      <c r="B53" s="240"/>
      <c r="C53" s="395">
        <v>23</v>
      </c>
      <c r="D53" s="45" t="s">
        <v>302</v>
      </c>
      <c r="E53" s="46"/>
      <c r="F53" s="47"/>
      <c r="G53" s="47"/>
      <c r="H53" s="457">
        <v>88610000</v>
      </c>
      <c r="I53" s="436">
        <v>13568100</v>
      </c>
      <c r="J53" s="196">
        <v>102178100</v>
      </c>
      <c r="K53" s="404">
        <f>H53/$H$59</f>
        <v>5.1213510392169814E-2</v>
      </c>
      <c r="M53" s="911">
        <f>'TOP SHEET'!H53</f>
        <v>106610736</v>
      </c>
      <c r="N53" s="806">
        <f>M53/H53</f>
        <v>1.2031456494752286</v>
      </c>
      <c r="O53" s="914">
        <f t="shared" si="0"/>
        <v>68781.119999999995</v>
      </c>
    </row>
    <row r="54" spans="2:15" ht="15">
      <c r="B54" s="242"/>
      <c r="C54" s="50"/>
      <c r="D54" s="51"/>
      <c r="E54" s="52"/>
      <c r="F54" s="53"/>
      <c r="G54" s="53"/>
      <c r="H54" s="458"/>
      <c r="I54" s="197"/>
      <c r="J54" s="197"/>
      <c r="K54" s="404"/>
      <c r="M54" s="911"/>
    </row>
    <row r="55" spans="2:15" ht="15">
      <c r="B55" s="240"/>
      <c r="C55" s="395">
        <v>24</v>
      </c>
      <c r="D55" s="45" t="s">
        <v>175</v>
      </c>
      <c r="E55" s="46"/>
      <c r="F55" s="47"/>
      <c r="G55" s="47"/>
      <c r="H55" s="457">
        <v>20510000</v>
      </c>
      <c r="I55" s="436">
        <v>4307100</v>
      </c>
      <c r="J55" s="196">
        <v>24817100</v>
      </c>
      <c r="K55" s="404">
        <f>H55/$H$59</f>
        <v>1.1854069497160623E-2</v>
      </c>
      <c r="M55" s="911">
        <f>'TOP SHEET'!H55</f>
        <v>33058800.000000004</v>
      </c>
      <c r="N55" s="806">
        <f>M55/H55</f>
        <v>1.6118381277425649</v>
      </c>
      <c r="O55" s="914">
        <f t="shared" si="0"/>
        <v>21328.258064516132</v>
      </c>
    </row>
    <row r="56" spans="2:15" ht="15">
      <c r="B56" s="242"/>
      <c r="C56" s="50"/>
      <c r="D56" s="51"/>
      <c r="E56" s="52"/>
      <c r="F56" s="53"/>
      <c r="G56" s="53"/>
      <c r="H56" s="458"/>
      <c r="I56" s="197"/>
      <c r="J56" s="197"/>
      <c r="K56" s="258"/>
      <c r="M56" s="911"/>
    </row>
    <row r="57" spans="2:15" ht="15">
      <c r="B57" s="240"/>
      <c r="C57" s="395">
        <v>25</v>
      </c>
      <c r="D57" s="45" t="s">
        <v>733</v>
      </c>
      <c r="E57" s="46"/>
      <c r="F57" s="47"/>
      <c r="G57" s="47"/>
      <c r="H57" s="457">
        <v>11900000</v>
      </c>
      <c r="I57" s="436">
        <v>0</v>
      </c>
      <c r="J57" s="196">
        <v>11900000</v>
      </c>
      <c r="K57" s="258">
        <f>H57/$H$59</f>
        <v>6.8777877628576995E-3</v>
      </c>
      <c r="M57" s="911">
        <f>'TOP SHEET'!H57</f>
        <v>14148000</v>
      </c>
      <c r="N57" s="806">
        <f>M57/H57</f>
        <v>1.1889075630252102</v>
      </c>
      <c r="O57" s="914">
        <f t="shared" si="0"/>
        <v>9127.7419354838712</v>
      </c>
    </row>
    <row r="58" spans="2:15" ht="15.75" thickBot="1">
      <c r="B58" s="242"/>
      <c r="C58" s="58"/>
      <c r="D58" s="59"/>
      <c r="E58" s="60"/>
      <c r="F58" s="40"/>
      <c r="G58" s="40"/>
      <c r="H58" s="459"/>
      <c r="I58" s="62"/>
      <c r="J58" s="62"/>
      <c r="K58" s="256"/>
      <c r="M58" s="912"/>
    </row>
    <row r="59" spans="2:15" ht="16.5" thickBot="1">
      <c r="B59" s="240"/>
      <c r="C59" s="227"/>
      <c r="D59" s="63"/>
      <c r="E59" s="65"/>
      <c r="F59" s="1024" t="s">
        <v>366</v>
      </c>
      <c r="G59" s="1025"/>
      <c r="H59" s="460">
        <v>1730207504.2594199</v>
      </c>
      <c r="I59" s="437">
        <v>181762402.5</v>
      </c>
      <c r="J59" s="264">
        <v>1911969906.7594199</v>
      </c>
      <c r="K59" s="1010">
        <f>SUM(K9:K57)</f>
        <v>1</v>
      </c>
      <c r="M59" s="1002">
        <f>SUM(M8:M58)</f>
        <v>2183165127.5050459</v>
      </c>
      <c r="N59" s="1003">
        <f>M59/H59</f>
        <v>1.2617938149791492</v>
      </c>
      <c r="O59" s="916">
        <f>SUM(O8:O58)</f>
        <v>1408493.6306484169</v>
      </c>
    </row>
    <row r="60" spans="2:15" ht="13.5" thickBot="1">
      <c r="B60" s="245"/>
      <c r="C60" s="246"/>
      <c r="D60" s="247"/>
      <c r="E60" s="248"/>
      <c r="F60" s="247"/>
      <c r="G60" s="247"/>
      <c r="H60" s="247"/>
      <c r="I60" s="249"/>
      <c r="J60" s="249"/>
      <c r="K60" s="261"/>
      <c r="M60" s="913"/>
    </row>
    <row r="63" spans="2:15" ht="15">
      <c r="D63" s="986" t="s">
        <v>756</v>
      </c>
      <c r="E63" s="986"/>
      <c r="F63" s="986"/>
      <c r="G63" s="986"/>
      <c r="H63" s="987">
        <f>'TOP SHEET'!H59</f>
        <v>2183165127.5050459</v>
      </c>
      <c r="I63" s="988"/>
      <c r="J63" s="988"/>
      <c r="K63" s="988"/>
    </row>
    <row r="64" spans="2:15" ht="14.25">
      <c r="D64" s="988"/>
      <c r="E64" s="988"/>
      <c r="F64" s="988"/>
      <c r="G64" s="988"/>
      <c r="H64" s="988"/>
      <c r="I64" s="988"/>
      <c r="J64" s="988"/>
      <c r="K64" s="988"/>
    </row>
    <row r="65" spans="4:11" ht="15">
      <c r="D65" s="989" t="s">
        <v>762</v>
      </c>
      <c r="E65" s="989"/>
      <c r="F65" s="989"/>
      <c r="G65" s="990"/>
      <c r="H65" s="991">
        <f>H63-H59</f>
        <v>452957623.24562597</v>
      </c>
      <c r="I65" s="988"/>
      <c r="J65" s="988"/>
      <c r="K65" s="988"/>
    </row>
  </sheetData>
  <mergeCells count="2">
    <mergeCell ref="F59:G59"/>
    <mergeCell ref="C4:D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0"/>
  <sheetViews>
    <sheetView tabSelected="1" topLeftCell="D38" zoomScaleNormal="100" workbookViewId="0">
      <selection activeCell="V80" sqref="V80"/>
    </sheetView>
  </sheetViews>
  <sheetFormatPr baseColWidth="10" defaultRowHeight="14.25"/>
  <cols>
    <col min="1" max="1" width="1.7109375" customWidth="1"/>
    <col min="2" max="2" width="1.42578125" customWidth="1"/>
    <col min="3" max="3" width="4.7109375" bestFit="1" customWidth="1"/>
    <col min="4" max="4" width="40.140625" bestFit="1" customWidth="1"/>
    <col min="5" max="5" width="14" customWidth="1"/>
    <col min="6" max="6" width="3.140625" bestFit="1" customWidth="1"/>
    <col min="7" max="7" width="24" customWidth="1"/>
    <col min="8" max="8" width="19.7109375" style="988" customWidth="1"/>
    <col min="9" max="9" width="13.140625" bestFit="1" customWidth="1"/>
    <col min="10" max="10" width="19.7109375" customWidth="1"/>
    <col min="11" max="11" width="8.140625" bestFit="1" customWidth="1"/>
    <col min="12" max="12" width="1.42578125" customWidth="1"/>
    <col min="13" max="13" width="12.140625" style="184" customWidth="1"/>
    <col min="14" max="14" width="15.7109375" style="184" customWidth="1"/>
    <col min="15" max="15" width="12.140625" style="184" bestFit="1" customWidth="1"/>
    <col min="16" max="16" width="16.28515625" customWidth="1"/>
    <col min="17" max="17" width="1.42578125" customWidth="1"/>
    <col min="18" max="18" width="2.42578125" customWidth="1"/>
    <col min="19" max="19" width="13.140625" bestFit="1" customWidth="1"/>
  </cols>
  <sheetData>
    <row r="1" spans="1:18" s="1" customFormat="1" ht="11.25" customHeight="1" thickBot="1">
      <c r="A1" s="5"/>
      <c r="B1" s="5"/>
      <c r="C1" s="6"/>
      <c r="D1" s="7"/>
      <c r="E1" s="8"/>
      <c r="F1" s="7"/>
      <c r="G1" s="100"/>
      <c r="H1" s="1016"/>
      <c r="I1" s="9"/>
      <c r="J1" s="9"/>
      <c r="K1" s="161"/>
      <c r="L1" s="5"/>
      <c r="M1" s="220"/>
      <c r="N1" s="220"/>
      <c r="O1" s="220"/>
      <c r="P1" s="5"/>
      <c r="Q1" s="5"/>
      <c r="R1" s="185"/>
    </row>
    <row r="2" spans="1:18" s="1" customFormat="1" ht="17.25" customHeight="1">
      <c r="A2" s="5"/>
      <c r="B2" s="228"/>
      <c r="C2" s="229"/>
      <c r="D2" s="230"/>
      <c r="E2" s="231"/>
      <c r="F2" s="230"/>
      <c r="G2" s="230"/>
      <c r="H2" s="1017"/>
      <c r="I2" s="232"/>
      <c r="J2" s="232"/>
      <c r="K2" s="255"/>
      <c r="L2" s="228"/>
      <c r="M2" s="233"/>
      <c r="N2" s="233"/>
      <c r="O2" s="233"/>
      <c r="P2" s="234"/>
      <c r="Q2" s="235"/>
      <c r="R2" s="185"/>
    </row>
    <row r="3" spans="1:18" s="1" customFormat="1" ht="17.25" customHeight="1" thickBot="1">
      <c r="A3" s="5"/>
      <c r="B3" s="236"/>
      <c r="C3" s="6"/>
      <c r="D3" s="7"/>
      <c r="E3" s="8"/>
      <c r="F3" s="7"/>
      <c r="G3" s="7"/>
      <c r="H3" s="1018"/>
      <c r="I3" s="9"/>
      <c r="J3" s="9"/>
      <c r="K3" s="256"/>
      <c r="L3" s="236"/>
      <c r="M3" s="220"/>
      <c r="N3" s="220"/>
      <c r="O3" s="220"/>
      <c r="P3" s="5"/>
      <c r="Q3" s="237"/>
      <c r="R3" s="185"/>
    </row>
    <row r="4" spans="1:18" s="1" customFormat="1" ht="15.75" customHeight="1" thickBot="1">
      <c r="A4" s="5"/>
      <c r="B4" s="236"/>
      <c r="C4" s="1036"/>
      <c r="D4" s="1037" t="str">
        <f>PRESU!E3</f>
        <v>PRESUPUESTO LARGOMETRAJE NACIONAL 
COSTO PROMEDIO  proyectado a Marzo 2026</v>
      </c>
      <c r="E4" s="357" t="s">
        <v>0</v>
      </c>
      <c r="F4" s="217">
        <v>7</v>
      </c>
      <c r="G4" s="19" t="s">
        <v>1</v>
      </c>
      <c r="H4" s="434">
        <v>0</v>
      </c>
      <c r="I4" s="461" t="s">
        <v>2</v>
      </c>
      <c r="J4" s="21">
        <v>30</v>
      </c>
      <c r="K4" s="256"/>
      <c r="L4" s="236"/>
      <c r="M4" s="1040" t="s">
        <v>337</v>
      </c>
      <c r="N4" s="1040"/>
      <c r="O4" s="1040"/>
      <c r="P4" s="1040"/>
      <c r="Q4" s="237"/>
      <c r="R4" s="185"/>
    </row>
    <row r="5" spans="1:18" s="1" customFormat="1" ht="15.75" customHeight="1" thickBot="1">
      <c r="A5" s="5"/>
      <c r="B5" s="236"/>
      <c r="C5" s="1036"/>
      <c r="D5" s="1038"/>
      <c r="E5" s="358" t="s">
        <v>4</v>
      </c>
      <c r="F5" s="218">
        <f>PRESU!G4</f>
        <v>6</v>
      </c>
      <c r="G5" s="25" t="s">
        <v>5</v>
      </c>
      <c r="H5" s="435">
        <v>0</v>
      </c>
      <c r="I5" s="462" t="s">
        <v>348</v>
      </c>
      <c r="J5" s="279">
        <v>20</v>
      </c>
      <c r="K5" s="256"/>
      <c r="L5" s="236"/>
      <c r="M5" s="1040"/>
      <c r="N5" s="1040"/>
      <c r="O5" s="1040"/>
      <c r="P5" s="1040"/>
      <c r="Q5" s="237"/>
      <c r="R5" s="185"/>
    </row>
    <row r="6" spans="1:18" s="1" customFormat="1" ht="15.75" thickBot="1">
      <c r="A6" s="5"/>
      <c r="B6" s="236"/>
      <c r="C6" s="1036"/>
      <c r="D6" s="1039"/>
      <c r="E6" s="358" t="s">
        <v>6</v>
      </c>
      <c r="F6" s="218">
        <f>PRESU!G5</f>
        <v>10</v>
      </c>
      <c r="G6" s="359" t="s">
        <v>235</v>
      </c>
      <c r="H6" s="435">
        <f>5*2.25</f>
        <v>11.25</v>
      </c>
      <c r="I6" s="463" t="s">
        <v>274</v>
      </c>
      <c r="J6" s="280">
        <v>10</v>
      </c>
      <c r="K6" s="256"/>
      <c r="L6" s="236"/>
      <c r="M6" s="1040"/>
      <c r="N6" s="1040"/>
      <c r="O6" s="1040"/>
      <c r="P6" s="1040"/>
      <c r="Q6" s="237"/>
      <c r="R6" s="185"/>
    </row>
    <row r="7" spans="1:18" s="37" customFormat="1" ht="19.5" customHeight="1" thickBot="1">
      <c r="A7" s="26"/>
      <c r="B7" s="238"/>
      <c r="C7" s="28"/>
      <c r="D7" s="29" t="s">
        <v>8</v>
      </c>
      <c r="E7" s="30"/>
      <c r="F7" s="30"/>
      <c r="G7" s="454"/>
      <c r="H7" s="1019" t="s">
        <v>9</v>
      </c>
      <c r="I7" s="32" t="s">
        <v>10</v>
      </c>
      <c r="J7" s="33" t="s">
        <v>11</v>
      </c>
      <c r="K7" s="257" t="s">
        <v>220</v>
      </c>
      <c r="L7" s="253"/>
      <c r="M7" s="35" t="s">
        <v>12</v>
      </c>
      <c r="N7" s="36" t="s">
        <v>13</v>
      </c>
      <c r="O7" s="36" t="s">
        <v>14</v>
      </c>
      <c r="P7" s="375" t="s">
        <v>9</v>
      </c>
      <c r="Q7" s="239"/>
      <c r="R7" s="186"/>
    </row>
    <row r="8" spans="1:18" s="1" customFormat="1" ht="9" customHeight="1">
      <c r="A8" s="5"/>
      <c r="B8" s="236"/>
      <c r="C8" s="6"/>
      <c r="D8" s="38"/>
      <c r="E8" s="39"/>
      <c r="F8" s="40"/>
      <c r="G8" s="40"/>
      <c r="H8" s="775"/>
      <c r="I8" s="42"/>
      <c r="J8" s="42"/>
      <c r="K8" s="256"/>
      <c r="L8" s="236"/>
      <c r="M8" s="221"/>
      <c r="N8" s="221"/>
      <c r="O8" s="221"/>
      <c r="P8" s="41"/>
      <c r="Q8" s="237"/>
      <c r="R8" s="185"/>
    </row>
    <row r="9" spans="1:18" s="48" customFormat="1" ht="20.25" customHeight="1">
      <c r="A9" s="43"/>
      <c r="B9" s="240"/>
      <c r="C9" s="395">
        <v>1</v>
      </c>
      <c r="D9" s="45" t="str">
        <f>PRESU!E11</f>
        <v>LIBRO / ARGUMENTO / GUION</v>
      </c>
      <c r="E9" s="46"/>
      <c r="F9" s="47"/>
      <c r="G9" s="47"/>
      <c r="H9" s="457">
        <f>PRESU!I20</f>
        <v>99066713</v>
      </c>
      <c r="I9" s="436">
        <f>PRESU!J20</f>
        <v>0</v>
      </c>
      <c r="J9" s="196">
        <f>PRESU!K20</f>
        <v>99066713</v>
      </c>
      <c r="K9" s="258">
        <f>H9/$H$59</f>
        <v>4.5377562948348729E-2</v>
      </c>
      <c r="L9" s="240"/>
      <c r="M9" s="222">
        <f>PRESU!N20</f>
        <v>99066713</v>
      </c>
      <c r="N9" s="222">
        <f>PRESU!O20</f>
        <v>0</v>
      </c>
      <c r="O9" s="222">
        <f>PRESU!P20</f>
        <v>0</v>
      </c>
      <c r="P9" s="376">
        <f>PRESU!Q20</f>
        <v>99066713</v>
      </c>
      <c r="Q9" s="241"/>
      <c r="R9" s="185"/>
    </row>
    <row r="10" spans="1:18" s="1" customFormat="1" ht="9" customHeight="1">
      <c r="A10" s="5"/>
      <c r="B10" s="242"/>
      <c r="C10" s="50"/>
      <c r="D10" s="51"/>
      <c r="E10" s="52"/>
      <c r="F10" s="53"/>
      <c r="G10" s="53"/>
      <c r="H10" s="458"/>
      <c r="I10" s="197"/>
      <c r="J10" s="197"/>
      <c r="K10" s="259"/>
      <c r="L10" s="242"/>
      <c r="M10" s="223"/>
      <c r="N10" s="223"/>
      <c r="O10" s="223"/>
      <c r="P10" s="54"/>
      <c r="Q10" s="243"/>
      <c r="R10" s="185"/>
    </row>
    <row r="11" spans="1:18" s="48" customFormat="1" ht="20.25" customHeight="1">
      <c r="A11" s="43"/>
      <c r="B11" s="240"/>
      <c r="C11" s="395">
        <v>2</v>
      </c>
      <c r="D11" s="45" t="str">
        <f>PRESU!E22</f>
        <v>DIRECCION</v>
      </c>
      <c r="E11" s="46"/>
      <c r="F11" s="47"/>
      <c r="G11" s="47"/>
      <c r="H11" s="457">
        <f>PRESU!I25</f>
        <v>173313425</v>
      </c>
      <c r="I11" s="436">
        <f>PRESU!J25</f>
        <v>36395819.25</v>
      </c>
      <c r="J11" s="196">
        <f>PRESU!K25</f>
        <v>209709244.25</v>
      </c>
      <c r="K11" s="258">
        <f>H11/$H$59</f>
        <v>7.9386310644337377E-2</v>
      </c>
      <c r="L11" s="240"/>
      <c r="M11" s="222">
        <f>PRESU!N25</f>
        <v>57193430.25</v>
      </c>
      <c r="N11" s="222">
        <f>PRESU!O25</f>
        <v>58926564.500000007</v>
      </c>
      <c r="O11" s="222">
        <f>PRESU!P25</f>
        <v>57193430.249999993</v>
      </c>
      <c r="P11" s="376">
        <f>PRESU!Q25</f>
        <v>173313425</v>
      </c>
      <c r="Q11" s="241"/>
      <c r="R11" s="185"/>
    </row>
    <row r="12" spans="1:18" s="1" customFormat="1" ht="9" customHeight="1">
      <c r="A12" s="5"/>
      <c r="B12" s="242"/>
      <c r="C12" s="50"/>
      <c r="D12" s="51"/>
      <c r="E12" s="52"/>
      <c r="F12" s="53"/>
      <c r="G12" s="53"/>
      <c r="H12" s="458"/>
      <c r="I12" s="197"/>
      <c r="J12" s="197"/>
      <c r="K12" s="258"/>
      <c r="L12" s="242"/>
      <c r="M12" s="224"/>
      <c r="N12" s="224"/>
      <c r="O12" s="224"/>
      <c r="P12" s="57"/>
      <c r="Q12" s="243"/>
      <c r="R12" s="185"/>
    </row>
    <row r="13" spans="1:18" s="48" customFormat="1" ht="20.25" customHeight="1">
      <c r="A13" s="43"/>
      <c r="B13" s="240"/>
      <c r="C13" s="395">
        <v>3</v>
      </c>
      <c r="D13" s="45" t="str">
        <f>PRESU!E27</f>
        <v>PRODUCCION</v>
      </c>
      <c r="E13" s="46"/>
      <c r="F13" s="47"/>
      <c r="G13" s="47"/>
      <c r="H13" s="457">
        <f>PRESU!I32</f>
        <v>177650740</v>
      </c>
      <c r="I13" s="436">
        <f>PRESU!J32</f>
        <v>29116655.399999999</v>
      </c>
      <c r="J13" s="196">
        <f>PRESU!K32</f>
        <v>206767395.40000001</v>
      </c>
      <c r="K13" s="258">
        <f>H13/$H$59</f>
        <v>8.137302019065408E-2</v>
      </c>
      <c r="L13" s="240"/>
      <c r="M13" s="222">
        <f>PRESU!N32</f>
        <v>53295222</v>
      </c>
      <c r="N13" s="222">
        <f>PRESU!O32</f>
        <v>71060296</v>
      </c>
      <c r="O13" s="222">
        <f>PRESU!P32</f>
        <v>53295222</v>
      </c>
      <c r="P13" s="376">
        <f>PRESU!Q32</f>
        <v>177650740</v>
      </c>
      <c r="Q13" s="241"/>
      <c r="R13" s="185"/>
    </row>
    <row r="14" spans="1:18" s="1" customFormat="1" ht="9" customHeight="1">
      <c r="A14" s="5"/>
      <c r="B14" s="242"/>
      <c r="C14" s="50"/>
      <c r="D14" s="51"/>
      <c r="E14" s="52"/>
      <c r="F14" s="53"/>
      <c r="G14" s="53"/>
      <c r="H14" s="458"/>
      <c r="I14" s="197"/>
      <c r="J14" s="197"/>
      <c r="K14" s="258"/>
      <c r="L14" s="242"/>
      <c r="M14" s="223"/>
      <c r="N14" s="223"/>
      <c r="O14" s="223"/>
      <c r="P14" s="56"/>
      <c r="Q14" s="243"/>
      <c r="R14" s="185"/>
    </row>
    <row r="15" spans="1:18" s="48" customFormat="1" ht="20.25" customHeight="1">
      <c r="A15" s="43"/>
      <c r="B15" s="240"/>
      <c r="C15" s="395">
        <v>4</v>
      </c>
      <c r="D15" s="45" t="str">
        <f>PRESU!E34</f>
        <v xml:space="preserve">EQUIPO TECNICO </v>
      </c>
      <c r="E15" s="46"/>
      <c r="F15" s="47"/>
      <c r="G15" s="47"/>
      <c r="H15" s="457">
        <f>PRESU!I44</f>
        <v>407498297.48448205</v>
      </c>
      <c r="I15" s="436">
        <f>PRESU!J44</f>
        <v>0</v>
      </c>
      <c r="J15" s="196">
        <f>PRESU!K44</f>
        <v>407498297.48448205</v>
      </c>
      <c r="K15" s="258">
        <f>H15/$H$59</f>
        <v>0.18665482163970679</v>
      </c>
      <c r="L15" s="240"/>
      <c r="M15" s="222">
        <f>PRESU!N44</f>
        <v>99570340.200000003</v>
      </c>
      <c r="N15" s="222">
        <f>PRESU!O44</f>
        <v>214341076.0914546</v>
      </c>
      <c r="O15" s="222">
        <f>PRESU!P44</f>
        <v>93586881.193027571</v>
      </c>
      <c r="P15" s="376">
        <f>PRESU!Q44</f>
        <v>407498297.48448217</v>
      </c>
      <c r="Q15" s="241"/>
      <c r="R15" s="185"/>
    </row>
    <row r="16" spans="1:18" s="1" customFormat="1" ht="9" customHeight="1">
      <c r="A16" s="5"/>
      <c r="B16" s="242"/>
      <c r="C16" s="50"/>
      <c r="D16" s="51"/>
      <c r="E16" s="52"/>
      <c r="F16" s="53"/>
      <c r="G16" s="53"/>
      <c r="H16" s="458"/>
      <c r="I16" s="197"/>
      <c r="J16" s="197"/>
      <c r="K16" s="258"/>
      <c r="L16" s="242"/>
      <c r="M16" s="223"/>
      <c r="N16" s="223"/>
      <c r="O16" s="223"/>
      <c r="P16" s="56"/>
      <c r="Q16" s="243"/>
      <c r="R16" s="185"/>
    </row>
    <row r="17" spans="1:18" s="48" customFormat="1" ht="20.25" customHeight="1">
      <c r="A17" s="43"/>
      <c r="B17" s="240"/>
      <c r="C17" s="395">
        <v>5</v>
      </c>
      <c r="D17" s="45" t="str">
        <f>PRESU!E46</f>
        <v>ELENCO</v>
      </c>
      <c r="E17" s="46"/>
      <c r="F17" s="47"/>
      <c r="G17" s="47"/>
      <c r="H17" s="457">
        <f>PRESU!I95</f>
        <v>125438729.98532501</v>
      </c>
      <c r="I17" s="436">
        <f>PRESU!J95</f>
        <v>0</v>
      </c>
      <c r="J17" s="196">
        <f>PRESU!K95</f>
        <v>125438729.98532499</v>
      </c>
      <c r="K17" s="258">
        <f>H17/$H$59</f>
        <v>5.745727998535699E-2</v>
      </c>
      <c r="L17" s="240"/>
      <c r="M17" s="222">
        <f>PRESU!N95</f>
        <v>24544466.245859999</v>
      </c>
      <c r="N17" s="222">
        <f>PRESU!O95</f>
        <v>100894263.73946498</v>
      </c>
      <c r="O17" s="222">
        <f>PRESU!P95</f>
        <v>0</v>
      </c>
      <c r="P17" s="376">
        <f>PRESU!Q95</f>
        <v>125438729.98532498</v>
      </c>
      <c r="Q17" s="241"/>
      <c r="R17" s="185"/>
    </row>
    <row r="18" spans="1:18" s="1" customFormat="1" ht="9" customHeight="1">
      <c r="A18" s="5"/>
      <c r="B18" s="242"/>
      <c r="C18" s="50"/>
      <c r="D18" s="51"/>
      <c r="E18" s="52"/>
      <c r="F18" s="53"/>
      <c r="G18" s="53"/>
      <c r="H18" s="458"/>
      <c r="I18" s="197"/>
      <c r="J18" s="197"/>
      <c r="K18" s="258"/>
      <c r="L18" s="242"/>
      <c r="M18" s="224"/>
      <c r="N18" s="224"/>
      <c r="O18" s="224"/>
      <c r="P18" s="57"/>
      <c r="Q18" s="243"/>
      <c r="R18" s="185"/>
    </row>
    <row r="19" spans="1:18" s="48" customFormat="1" ht="20.25" customHeight="1">
      <c r="A19" s="43"/>
      <c r="B19" s="240"/>
      <c r="C19" s="395">
        <v>6</v>
      </c>
      <c r="D19" s="45" t="str">
        <f>PRESU!E97</f>
        <v>CARGAS SOCIALES</v>
      </c>
      <c r="E19" s="46"/>
      <c r="F19" s="47"/>
      <c r="G19" s="47"/>
      <c r="H19" s="457">
        <f>PRESU!I108</f>
        <v>150058045.0952388</v>
      </c>
      <c r="I19" s="436">
        <f>PRESU!J108</f>
        <v>0</v>
      </c>
      <c r="J19" s="196">
        <f>PRESU!K108</f>
        <v>150058045.0952388</v>
      </c>
      <c r="K19" s="258">
        <f>H19/$H$59</f>
        <v>6.8734170954227083E-2</v>
      </c>
      <c r="L19" s="240"/>
      <c r="M19" s="222">
        <f>PRESU!N108</f>
        <v>43081127.479031645</v>
      </c>
      <c r="N19" s="222">
        <f>PRESU!O108</f>
        <v>81782415.674307227</v>
      </c>
      <c r="O19" s="222">
        <f>PRESU!P108</f>
        <v>25194501.941899959</v>
      </c>
      <c r="P19" s="376">
        <f>PRESU!Q108</f>
        <v>150058045.09523883</v>
      </c>
      <c r="Q19" s="241"/>
      <c r="R19" s="185"/>
    </row>
    <row r="20" spans="1:18" s="1" customFormat="1" ht="9" customHeight="1">
      <c r="A20" s="5"/>
      <c r="B20" s="242"/>
      <c r="C20" s="50"/>
      <c r="D20" s="51"/>
      <c r="E20" s="52"/>
      <c r="F20" s="53"/>
      <c r="G20" s="53"/>
      <c r="H20" s="458"/>
      <c r="I20" s="197"/>
      <c r="J20" s="197"/>
      <c r="K20" s="258"/>
      <c r="L20" s="242"/>
      <c r="M20" s="224"/>
      <c r="N20" s="224"/>
      <c r="O20" s="224"/>
      <c r="P20" s="57"/>
      <c r="Q20" s="243"/>
      <c r="R20" s="185"/>
    </row>
    <row r="21" spans="1:18" s="48" customFormat="1" ht="20.25" customHeight="1">
      <c r="A21" s="43"/>
      <c r="B21" s="240"/>
      <c r="C21" s="395">
        <v>7</v>
      </c>
      <c r="D21" s="45" t="str">
        <f>PRESU!E110</f>
        <v>VESTUARIO</v>
      </c>
      <c r="E21" s="46"/>
      <c r="F21" s="47"/>
      <c r="G21" s="47"/>
      <c r="H21" s="457">
        <f>PRESU!I127</f>
        <v>33203520</v>
      </c>
      <c r="I21" s="436">
        <f>PRESU!J127</f>
        <v>6696043.2000000002</v>
      </c>
      <c r="J21" s="196">
        <f>PRESU!K127</f>
        <v>39899563.200000003</v>
      </c>
      <c r="K21" s="258">
        <f>H21/$H$59</f>
        <v>1.5208890789651576E-2</v>
      </c>
      <c r="L21" s="240"/>
      <c r="M21" s="222">
        <f>PRESU!N127</f>
        <v>25508736</v>
      </c>
      <c r="N21" s="222">
        <f>PRESU!O127</f>
        <v>7035984</v>
      </c>
      <c r="O21" s="222">
        <f>PRESU!P127</f>
        <v>658800</v>
      </c>
      <c r="P21" s="376">
        <f>PRESU!Q127</f>
        <v>33203520</v>
      </c>
      <c r="Q21" s="241"/>
      <c r="R21" s="185"/>
    </row>
    <row r="22" spans="1:18" s="1" customFormat="1" ht="9" customHeight="1">
      <c r="A22" s="5"/>
      <c r="B22" s="242"/>
      <c r="C22" s="50"/>
      <c r="D22" s="51"/>
      <c r="E22" s="52"/>
      <c r="F22" s="53"/>
      <c r="G22" s="53"/>
      <c r="H22" s="458"/>
      <c r="I22" s="197"/>
      <c r="J22" s="197"/>
      <c r="K22" s="258"/>
      <c r="L22" s="242"/>
      <c r="M22" s="223"/>
      <c r="N22" s="223"/>
      <c r="O22" s="223"/>
      <c r="P22" s="56"/>
      <c r="Q22" s="243"/>
      <c r="R22" s="185"/>
    </row>
    <row r="23" spans="1:18" s="48" customFormat="1" ht="20.25" customHeight="1">
      <c r="A23" s="43"/>
      <c r="B23" s="240"/>
      <c r="C23" s="395">
        <v>8</v>
      </c>
      <c r="D23" s="45" t="str">
        <f>PRESU!E129</f>
        <v>MAQUILLAJE</v>
      </c>
      <c r="E23" s="46"/>
      <c r="F23" s="47"/>
      <c r="G23" s="47"/>
      <c r="H23" s="457">
        <f>PRESU!I142</f>
        <v>6719760</v>
      </c>
      <c r="I23" s="436">
        <f>PRESU!J142</f>
        <v>498052.8</v>
      </c>
      <c r="J23" s="196">
        <f>PRESU!K142</f>
        <v>7217812.8000000007</v>
      </c>
      <c r="K23" s="258">
        <f>H23/$H$59</f>
        <v>3.0779898026675806E-3</v>
      </c>
      <c r="L23" s="240"/>
      <c r="M23" s="222">
        <f>PRESU!N142</f>
        <v>474336</v>
      </c>
      <c r="N23" s="222">
        <f>PRESU!O142</f>
        <v>6245424</v>
      </c>
      <c r="O23" s="222">
        <f>PRESU!P142</f>
        <v>0</v>
      </c>
      <c r="P23" s="376">
        <f>PRESU!Q142</f>
        <v>6719760</v>
      </c>
      <c r="Q23" s="241"/>
      <c r="R23" s="185"/>
    </row>
    <row r="24" spans="1:18" s="1" customFormat="1" ht="9" customHeight="1">
      <c r="A24" s="5"/>
      <c r="B24" s="242"/>
      <c r="C24" s="50"/>
      <c r="D24" s="51"/>
      <c r="E24" s="52"/>
      <c r="F24" s="53"/>
      <c r="G24" s="53"/>
      <c r="H24" s="458"/>
      <c r="I24" s="197"/>
      <c r="J24" s="197"/>
      <c r="K24" s="258"/>
      <c r="L24" s="242"/>
      <c r="M24" s="224"/>
      <c r="N24" s="224"/>
      <c r="O24" s="224"/>
      <c r="P24" s="57"/>
      <c r="Q24" s="243"/>
      <c r="R24" s="185"/>
    </row>
    <row r="25" spans="1:18" s="48" customFormat="1" ht="20.25" customHeight="1">
      <c r="A25" s="43"/>
      <c r="B25" s="240"/>
      <c r="C25" s="395">
        <v>9</v>
      </c>
      <c r="D25" s="45" t="str">
        <f>PRESU!E144</f>
        <v>UTILERIA</v>
      </c>
      <c r="E25" s="46"/>
      <c r="F25" s="47"/>
      <c r="G25" s="47"/>
      <c r="H25" s="457">
        <f>PRESU!I153</f>
        <v>39528000</v>
      </c>
      <c r="I25" s="436">
        <f>PRESU!J153</f>
        <v>8300880</v>
      </c>
      <c r="J25" s="196">
        <f>PRESU!K153</f>
        <v>47828880</v>
      </c>
      <c r="K25" s="404">
        <f>H25/$H$59</f>
        <v>1.810582236863283E-2</v>
      </c>
      <c r="L25" s="240"/>
      <c r="M25" s="222">
        <f>PRESU!N153</f>
        <v>24507360</v>
      </c>
      <c r="N25" s="222">
        <f>PRESU!O153</f>
        <v>15020640</v>
      </c>
      <c r="O25" s="222">
        <f>PRESU!P153</f>
        <v>0</v>
      </c>
      <c r="P25" s="376">
        <f>PRESU!Q153</f>
        <v>39528000</v>
      </c>
      <c r="Q25" s="241"/>
      <c r="R25" s="185"/>
    </row>
    <row r="26" spans="1:18" s="1" customFormat="1" ht="9" customHeight="1">
      <c r="A26" s="5"/>
      <c r="B26" s="242"/>
      <c r="C26" s="50"/>
      <c r="D26" s="51"/>
      <c r="E26" s="52"/>
      <c r="F26" s="53"/>
      <c r="G26" s="53"/>
      <c r="H26" s="458"/>
      <c r="I26" s="197"/>
      <c r="J26" s="197"/>
      <c r="K26" s="258"/>
      <c r="L26" s="242"/>
      <c r="M26" s="223"/>
      <c r="N26" s="223"/>
      <c r="O26" s="223"/>
      <c r="P26" s="56"/>
      <c r="Q26" s="243"/>
      <c r="R26" s="185"/>
    </row>
    <row r="27" spans="1:18" s="48" customFormat="1" ht="20.25" customHeight="1">
      <c r="A27" s="43"/>
      <c r="B27" s="240"/>
      <c r="C27" s="395">
        <v>10</v>
      </c>
      <c r="D27" s="45" t="str">
        <f>PRESU!E155</f>
        <v>ESCENOGRAFIA</v>
      </c>
      <c r="E27" s="46"/>
      <c r="F27" s="47"/>
      <c r="G27" s="47"/>
      <c r="H27" s="457">
        <f>PRESU!I168</f>
        <v>105144480</v>
      </c>
      <c r="I27" s="436">
        <f>PRESU!J168</f>
        <v>21305592</v>
      </c>
      <c r="J27" s="196">
        <f>PRESU!K168</f>
        <v>126450072</v>
      </c>
      <c r="K27" s="404">
        <f>H27/$H$59</f>
        <v>4.8161487500563323E-2</v>
      </c>
      <c r="L27" s="240"/>
      <c r="M27" s="222">
        <f>PRESU!N168</f>
        <v>72006840</v>
      </c>
      <c r="N27" s="222">
        <f>PRESU!O168</f>
        <v>33137640</v>
      </c>
      <c r="O27" s="222">
        <f>PRESU!P168</f>
        <v>0</v>
      </c>
      <c r="P27" s="376">
        <f>PRESU!Q168</f>
        <v>105144480</v>
      </c>
      <c r="Q27" s="241"/>
      <c r="R27" s="185"/>
    </row>
    <row r="28" spans="1:18" s="1" customFormat="1" ht="9" customHeight="1">
      <c r="A28" s="5"/>
      <c r="B28" s="242"/>
      <c r="C28" s="50"/>
      <c r="D28" s="51"/>
      <c r="E28" s="52"/>
      <c r="F28" s="53"/>
      <c r="G28" s="53"/>
      <c r="H28" s="458"/>
      <c r="I28" s="197"/>
      <c r="J28" s="197"/>
      <c r="K28" s="258"/>
      <c r="L28" s="242"/>
      <c r="M28" s="223"/>
      <c r="N28" s="223"/>
      <c r="O28" s="223"/>
      <c r="P28" s="56"/>
      <c r="Q28" s="243"/>
      <c r="R28" s="185"/>
    </row>
    <row r="29" spans="1:18" s="48" customFormat="1" ht="20.25" customHeight="1">
      <c r="A29" s="43"/>
      <c r="B29" s="240"/>
      <c r="C29" s="395">
        <v>11</v>
      </c>
      <c r="D29" s="45" t="str">
        <f>PRESU!E170</f>
        <v>LOCACIONES</v>
      </c>
      <c r="E29" s="46"/>
      <c r="F29" s="47"/>
      <c r="G29" s="47"/>
      <c r="H29" s="457">
        <f>PRESU!I191</f>
        <v>61272720</v>
      </c>
      <c r="I29" s="436">
        <f>PRESU!J191</f>
        <v>0</v>
      </c>
      <c r="J29" s="196">
        <f>PRESU!K191</f>
        <v>61272720</v>
      </c>
      <c r="K29" s="258">
        <f>H29/$H$59</f>
        <v>2.8066003449781825E-2</v>
      </c>
      <c r="L29" s="240"/>
      <c r="M29" s="222">
        <f>PRESU!N191</f>
        <v>22941144</v>
      </c>
      <c r="N29" s="222">
        <f>PRESU!O191</f>
        <v>38331576</v>
      </c>
      <c r="O29" s="222">
        <f>PRESU!P191</f>
        <v>0</v>
      </c>
      <c r="P29" s="376">
        <f>PRESU!Q191</f>
        <v>61272720</v>
      </c>
      <c r="Q29" s="241"/>
      <c r="R29" s="185"/>
    </row>
    <row r="30" spans="1:18" s="1" customFormat="1" ht="9" customHeight="1">
      <c r="A30" s="5"/>
      <c r="B30" s="242"/>
      <c r="C30" s="50"/>
      <c r="D30" s="51"/>
      <c r="E30" s="52"/>
      <c r="F30" s="53"/>
      <c r="G30" s="53"/>
      <c r="H30" s="458"/>
      <c r="I30" s="197"/>
      <c r="J30" s="197"/>
      <c r="K30" s="258"/>
      <c r="L30" s="242"/>
      <c r="M30" s="224"/>
      <c r="N30" s="224"/>
      <c r="O30" s="224"/>
      <c r="P30" s="57"/>
      <c r="Q30" s="243"/>
      <c r="R30" s="185"/>
    </row>
    <row r="31" spans="1:18" s="48" customFormat="1" ht="20.25" customHeight="1">
      <c r="A31" s="43"/>
      <c r="B31" s="240"/>
      <c r="C31" s="395">
        <v>12</v>
      </c>
      <c r="D31" s="45" t="str">
        <f>PRESU!E193</f>
        <v>ARCHIVO</v>
      </c>
      <c r="E31" s="46"/>
      <c r="F31" s="47"/>
      <c r="G31" s="47"/>
      <c r="H31" s="457">
        <f>PRESU!I200</f>
        <v>0</v>
      </c>
      <c r="I31" s="436">
        <f>PRESU!J200</f>
        <v>0</v>
      </c>
      <c r="J31" s="196">
        <f>PRESU!K200</f>
        <v>0</v>
      </c>
      <c r="K31" s="258">
        <f>H31/$H$59</f>
        <v>0</v>
      </c>
      <c r="L31" s="240"/>
      <c r="M31" s="222">
        <f>PRESU!N200</f>
        <v>0</v>
      </c>
      <c r="N31" s="222">
        <f>PRESU!O200</f>
        <v>0</v>
      </c>
      <c r="O31" s="222">
        <f>PRESU!P200</f>
        <v>0</v>
      </c>
      <c r="P31" s="376">
        <f>PRESU!Q200</f>
        <v>0</v>
      </c>
      <c r="Q31" s="241"/>
      <c r="R31" s="185"/>
    </row>
    <row r="32" spans="1:18" s="1" customFormat="1" ht="9" customHeight="1">
      <c r="A32" s="5"/>
      <c r="B32" s="242"/>
      <c r="C32" s="50"/>
      <c r="D32" s="51"/>
      <c r="E32" s="52"/>
      <c r="F32" s="53"/>
      <c r="G32" s="53"/>
      <c r="H32" s="458"/>
      <c r="I32" s="197"/>
      <c r="J32" s="197"/>
      <c r="K32" s="258"/>
      <c r="L32" s="242"/>
      <c r="M32" s="223"/>
      <c r="N32" s="223"/>
      <c r="O32" s="223"/>
      <c r="P32" s="56"/>
      <c r="Q32" s="243"/>
      <c r="R32" s="185"/>
    </row>
    <row r="33" spans="1:18" s="48" customFormat="1" ht="20.25" customHeight="1">
      <c r="A33" s="43"/>
      <c r="B33" s="240"/>
      <c r="C33" s="395">
        <v>13</v>
      </c>
      <c r="D33" s="45" t="str">
        <f>PRESU!E202</f>
        <v>MUSICA</v>
      </c>
      <c r="E33" s="46"/>
      <c r="F33" s="47"/>
      <c r="G33" s="47"/>
      <c r="H33" s="457">
        <f>PRESU!I210</f>
        <v>48870700.060000002</v>
      </c>
      <c r="I33" s="436">
        <f>PRESU!J210</f>
        <v>272160</v>
      </c>
      <c r="J33" s="196">
        <f>PRESU!K210</f>
        <v>49142860.060000002</v>
      </c>
      <c r="K33" s="258">
        <f>H33/$H$59</f>
        <v>2.2385251323545175E-2</v>
      </c>
      <c r="L33" s="240"/>
      <c r="M33" s="222">
        <f>PRESU!N210</f>
        <v>0</v>
      </c>
      <c r="N33" s="222">
        <f>PRESU!O210</f>
        <v>0</v>
      </c>
      <c r="O33" s="222">
        <f>PRESU!P210</f>
        <v>48870700.060000002</v>
      </c>
      <c r="P33" s="376">
        <f>PRESU!Q210</f>
        <v>48870700.060000002</v>
      </c>
      <c r="Q33" s="241"/>
      <c r="R33" s="185"/>
    </row>
    <row r="34" spans="1:18" s="1" customFormat="1" ht="9" customHeight="1">
      <c r="A34" s="5"/>
      <c r="B34" s="242"/>
      <c r="C34" s="50"/>
      <c r="D34" s="51"/>
      <c r="E34" s="52"/>
      <c r="F34" s="53"/>
      <c r="G34" s="53"/>
      <c r="H34" s="458"/>
      <c r="I34" s="197"/>
      <c r="J34" s="197"/>
      <c r="K34" s="258"/>
      <c r="L34" s="242"/>
      <c r="M34" s="223"/>
      <c r="N34" s="223"/>
      <c r="O34" s="223"/>
      <c r="P34" s="56"/>
      <c r="Q34" s="243"/>
      <c r="R34" s="185"/>
    </row>
    <row r="35" spans="1:18" s="48" customFormat="1" ht="20.25" customHeight="1">
      <c r="A35" s="43"/>
      <c r="B35" s="240"/>
      <c r="C35" s="395">
        <v>14</v>
      </c>
      <c r="D35" s="45" t="str">
        <f>PRESU!E212</f>
        <v>MATERIAL DE ALMACENAMIENTO</v>
      </c>
      <c r="E35" s="46"/>
      <c r="F35" s="47"/>
      <c r="G35" s="47"/>
      <c r="H35" s="457">
        <f>PRESU!I224</f>
        <v>26100000</v>
      </c>
      <c r="I35" s="436">
        <f>PRESU!J224</f>
        <v>2562000</v>
      </c>
      <c r="J35" s="196">
        <f>PRESU!K224</f>
        <v>28662000</v>
      </c>
      <c r="K35" s="404">
        <f>H35/$H$59</f>
        <v>1.1955119505700183E-2</v>
      </c>
      <c r="L35" s="240"/>
      <c r="M35" s="222">
        <f>PRESU!N224</f>
        <v>12060000</v>
      </c>
      <c r="N35" s="222">
        <f>PRESU!O224</f>
        <v>2540000</v>
      </c>
      <c r="O35" s="222">
        <f>PRESU!P224</f>
        <v>11500000</v>
      </c>
      <c r="P35" s="376">
        <f>PRESU!Q224</f>
        <v>26100000</v>
      </c>
      <c r="Q35" s="241"/>
      <c r="R35" s="185"/>
    </row>
    <row r="36" spans="1:18" s="1" customFormat="1" ht="9" customHeight="1">
      <c r="A36" s="5"/>
      <c r="B36" s="242"/>
      <c r="C36" s="50"/>
      <c r="D36" s="51"/>
      <c r="E36" s="52"/>
      <c r="F36" s="53"/>
      <c r="G36" s="53"/>
      <c r="H36" s="458"/>
      <c r="I36" s="197"/>
      <c r="J36" s="197"/>
      <c r="K36" s="258"/>
      <c r="L36" s="242"/>
      <c r="M36" s="224"/>
      <c r="N36" s="224"/>
      <c r="O36" s="224"/>
      <c r="P36" s="57"/>
      <c r="Q36" s="243"/>
      <c r="R36" s="185"/>
    </row>
    <row r="37" spans="1:18" s="48" customFormat="1" ht="20.25" customHeight="1">
      <c r="A37" s="43"/>
      <c r="B37" s="240"/>
      <c r="C37" s="395">
        <v>15</v>
      </c>
      <c r="D37" s="45" t="str">
        <f>PRESU!E226</f>
        <v>POST PRODUCCIÓN DE IMAGEN</v>
      </c>
      <c r="E37" s="46"/>
      <c r="F37" s="47"/>
      <c r="G37" s="47"/>
      <c r="H37" s="457">
        <f>PRESU!I241</f>
        <v>44349000</v>
      </c>
      <c r="I37" s="436">
        <f>PRESU!J241</f>
        <v>4023600</v>
      </c>
      <c r="J37" s="196">
        <f>PRESU!K241</f>
        <v>48372600</v>
      </c>
      <c r="K37" s="258">
        <f>H37/$H$59</f>
        <v>2.0314084098019058E-2</v>
      </c>
      <c r="L37" s="240"/>
      <c r="M37" s="222">
        <f>PRESU!N241</f>
        <v>5929200</v>
      </c>
      <c r="N37" s="222">
        <f>PRESU!O241</f>
        <v>8215600</v>
      </c>
      <c r="O37" s="222">
        <f>PRESU!P241</f>
        <v>30204200</v>
      </c>
      <c r="P37" s="376">
        <f>PRESU!Q241</f>
        <v>44349000</v>
      </c>
      <c r="Q37" s="241"/>
      <c r="R37" s="185"/>
    </row>
    <row r="38" spans="1:18" s="1" customFormat="1" ht="9" customHeight="1">
      <c r="A38" s="5"/>
      <c r="B38" s="242"/>
      <c r="C38" s="50"/>
      <c r="D38" s="51"/>
      <c r="E38" s="52"/>
      <c r="F38" s="53"/>
      <c r="G38" s="53"/>
      <c r="H38" s="458"/>
      <c r="I38" s="197"/>
      <c r="J38" s="197"/>
      <c r="K38" s="258"/>
      <c r="L38" s="242"/>
      <c r="M38" s="224"/>
      <c r="N38" s="224"/>
      <c r="O38" s="224"/>
      <c r="P38" s="57"/>
      <c r="Q38" s="243"/>
      <c r="R38" s="185"/>
    </row>
    <row r="39" spans="1:18" s="48" customFormat="1" ht="20.25" customHeight="1">
      <c r="A39" s="43"/>
      <c r="B39" s="240"/>
      <c r="C39" s="395">
        <v>16</v>
      </c>
      <c r="D39" s="45" t="str">
        <f>PRESU!E243</f>
        <v>EDICION</v>
      </c>
      <c r="E39" s="46"/>
      <c r="F39" s="47"/>
      <c r="G39" s="47"/>
      <c r="H39" s="457">
        <f>PRESU!I252</f>
        <v>10296720</v>
      </c>
      <c r="I39" s="436">
        <f>PRESU!J252</f>
        <v>2139631.2000000002</v>
      </c>
      <c r="J39" s="196">
        <f>PRESU!K252</f>
        <v>12436351.200000003</v>
      </c>
      <c r="K39" s="258">
        <f>H39/$H$59</f>
        <v>4.716418318648781E-3</v>
      </c>
      <c r="L39" s="240"/>
      <c r="M39" s="222">
        <f>PRESU!N252</f>
        <v>0</v>
      </c>
      <c r="N39" s="222">
        <f>PRESU!O252</f>
        <v>2241000</v>
      </c>
      <c r="O39" s="222">
        <f>PRESU!P252</f>
        <v>8055720.0000000009</v>
      </c>
      <c r="P39" s="376">
        <f>PRESU!Q252</f>
        <v>10296720</v>
      </c>
      <c r="Q39" s="241"/>
      <c r="R39" s="185"/>
    </row>
    <row r="40" spans="1:18" s="1" customFormat="1" ht="9" customHeight="1">
      <c r="A40" s="5"/>
      <c r="B40" s="242"/>
      <c r="C40" s="50"/>
      <c r="D40" s="51"/>
      <c r="E40" s="52"/>
      <c r="F40" s="53"/>
      <c r="G40" s="53"/>
      <c r="H40" s="458"/>
      <c r="I40" s="197"/>
      <c r="J40" s="197"/>
      <c r="K40" s="258"/>
      <c r="L40" s="242"/>
      <c r="M40" s="223"/>
      <c r="N40" s="223"/>
      <c r="O40" s="223"/>
      <c r="P40" s="56"/>
      <c r="Q40" s="243"/>
      <c r="R40" s="185"/>
    </row>
    <row r="41" spans="1:18" s="48" customFormat="1" ht="20.25" customHeight="1">
      <c r="A41" s="43"/>
      <c r="B41" s="240"/>
      <c r="C41" s="395">
        <v>17</v>
      </c>
      <c r="D41" s="45" t="str">
        <f>PRESU!E254</f>
        <v>POST PRODUCCIÓN DE SONIDO</v>
      </c>
      <c r="E41" s="46"/>
      <c r="F41" s="47"/>
      <c r="G41" s="47"/>
      <c r="H41" s="457">
        <f>PRESU!I282</f>
        <v>33920000</v>
      </c>
      <c r="I41" s="436">
        <f>PRESU!J282</f>
        <v>7123200</v>
      </c>
      <c r="J41" s="196">
        <f>PRESU!K282</f>
        <v>41043200</v>
      </c>
      <c r="K41" s="404">
        <f>H41/$H$59</f>
        <v>1.5537074851852498E-2</v>
      </c>
      <c r="L41" s="240"/>
      <c r="M41" s="222">
        <f>PRESU!N282</f>
        <v>0</v>
      </c>
      <c r="N41" s="222">
        <f>PRESU!O282</f>
        <v>10176000</v>
      </c>
      <c r="O41" s="222">
        <f>PRESU!P282</f>
        <v>23744000</v>
      </c>
      <c r="P41" s="376">
        <f>PRESU!Q282</f>
        <v>33920000</v>
      </c>
      <c r="Q41" s="241"/>
      <c r="R41" s="185"/>
    </row>
    <row r="42" spans="1:18" s="1" customFormat="1" ht="9" customHeight="1">
      <c r="A42" s="5"/>
      <c r="B42" s="242"/>
      <c r="C42" s="50"/>
      <c r="D42" s="51"/>
      <c r="E42" s="52"/>
      <c r="F42" s="53"/>
      <c r="G42" s="53"/>
      <c r="H42" s="458"/>
      <c r="I42" s="197"/>
      <c r="J42" s="197"/>
      <c r="K42" s="258"/>
      <c r="L42" s="242"/>
      <c r="M42" s="224"/>
      <c r="N42" s="224"/>
      <c r="O42" s="224"/>
      <c r="P42" s="57"/>
      <c r="Q42" s="243"/>
      <c r="R42" s="185"/>
    </row>
    <row r="43" spans="1:18" s="48" customFormat="1" ht="20.25" customHeight="1">
      <c r="A43" s="43"/>
      <c r="B43" s="240"/>
      <c r="C43" s="395">
        <v>18</v>
      </c>
      <c r="D43" s="45" t="str">
        <f>PRESU!E284</f>
        <v xml:space="preserve">EQUIPAMIENTO DE FILMACIÓN </v>
      </c>
      <c r="E43" s="46"/>
      <c r="F43" s="47"/>
      <c r="G43" s="47"/>
      <c r="H43" s="457">
        <f>PRESU!I316</f>
        <v>149157438.48000002</v>
      </c>
      <c r="I43" s="436">
        <f>PRESU!J316</f>
        <v>31323062.080800001</v>
      </c>
      <c r="J43" s="196">
        <f>PRESU!K316</f>
        <v>180480500.56079999</v>
      </c>
      <c r="K43" s="258">
        <f>H43/$H$59</f>
        <v>6.8321647593583265E-2</v>
      </c>
      <c r="L43" s="240"/>
      <c r="M43" s="222">
        <f>PRESU!N316</f>
        <v>19227780</v>
      </c>
      <c r="N43" s="222">
        <f>PRESU!O316</f>
        <v>113937040.8</v>
      </c>
      <c r="O43" s="222">
        <f>PRESU!P316</f>
        <v>15992617.68</v>
      </c>
      <c r="P43" s="376">
        <f>PRESU!Q316</f>
        <v>149157438.47999999</v>
      </c>
      <c r="Q43" s="241"/>
      <c r="R43" s="185"/>
    </row>
    <row r="44" spans="1:18" s="1" customFormat="1" ht="9" customHeight="1">
      <c r="A44" s="5"/>
      <c r="B44" s="242"/>
      <c r="C44" s="50"/>
      <c r="D44" s="51"/>
      <c r="E44" s="52"/>
      <c r="F44" s="53"/>
      <c r="G44" s="53"/>
      <c r="H44" s="458"/>
      <c r="I44" s="197"/>
      <c r="J44" s="197"/>
      <c r="K44" s="258"/>
      <c r="L44" s="242"/>
      <c r="M44" s="224"/>
      <c r="N44" s="224"/>
      <c r="O44" s="224"/>
      <c r="P44" s="57"/>
      <c r="Q44" s="243"/>
      <c r="R44" s="185"/>
    </row>
    <row r="45" spans="1:18" s="48" customFormat="1" ht="20.25" customHeight="1">
      <c r="A45" s="43"/>
      <c r="B45" s="240"/>
      <c r="C45" s="395">
        <v>19</v>
      </c>
      <c r="D45" s="45" t="str">
        <f>PRESU!E318</f>
        <v>Efectos especiales y visuales (SFX + VFX)</v>
      </c>
      <c r="E45" s="46"/>
      <c r="F45" s="47"/>
      <c r="G45" s="47"/>
      <c r="H45" s="457">
        <f>PRESU!I329</f>
        <v>32940000</v>
      </c>
      <c r="I45" s="436">
        <f>PRESU!J329</f>
        <v>6917400</v>
      </c>
      <c r="J45" s="196">
        <f>PRESU!K329</f>
        <v>39857400</v>
      </c>
      <c r="K45" s="258">
        <f>H45/$H$59</f>
        <v>1.5088185307194024E-2</v>
      </c>
      <c r="L45" s="240"/>
      <c r="M45" s="222">
        <f>PRESU!N329</f>
        <v>9882000</v>
      </c>
      <c r="N45" s="222">
        <f>PRESU!O329</f>
        <v>23058000</v>
      </c>
      <c r="O45" s="222">
        <f>PRESU!P329</f>
        <v>0</v>
      </c>
      <c r="P45" s="376">
        <f>PRESU!Q329</f>
        <v>32940000</v>
      </c>
      <c r="Q45" s="241"/>
      <c r="R45" s="185"/>
    </row>
    <row r="46" spans="1:18" s="1" customFormat="1" ht="9" customHeight="1">
      <c r="A46" s="5"/>
      <c r="B46" s="242"/>
      <c r="C46" s="50"/>
      <c r="D46" s="51"/>
      <c r="E46" s="52"/>
      <c r="F46" s="53"/>
      <c r="G46" s="53"/>
      <c r="H46" s="458"/>
      <c r="I46" s="197"/>
      <c r="J46" s="197"/>
      <c r="K46" s="258"/>
      <c r="L46" s="242"/>
      <c r="M46" s="223"/>
      <c r="N46" s="223"/>
      <c r="O46" s="223"/>
      <c r="P46" s="56"/>
      <c r="Q46" s="243"/>
      <c r="R46" s="185"/>
    </row>
    <row r="47" spans="1:18" s="48" customFormat="1" ht="20.25" customHeight="1">
      <c r="A47" s="43"/>
      <c r="B47" s="240"/>
      <c r="C47" s="395">
        <v>20</v>
      </c>
      <c r="D47" s="45" t="str">
        <f>PRESU!E331</f>
        <v>MOVILIDAD</v>
      </c>
      <c r="E47" s="46"/>
      <c r="F47" s="47"/>
      <c r="G47" s="47"/>
      <c r="H47" s="457">
        <f>PRESU!I374</f>
        <v>110721400</v>
      </c>
      <c r="I47" s="436">
        <f>PRESU!J374</f>
        <v>20521494</v>
      </c>
      <c r="J47" s="196">
        <f>PRESU!K374</f>
        <v>131242894</v>
      </c>
      <c r="K47" s="258">
        <f>H47/$H$59</f>
        <v>5.0715998806070202E-2</v>
      </c>
      <c r="L47" s="240"/>
      <c r="M47" s="222">
        <f>PRESU!N374</f>
        <v>34620580</v>
      </c>
      <c r="N47" s="222">
        <f>PRESU!O374</f>
        <v>65843560</v>
      </c>
      <c r="O47" s="222">
        <f>PRESU!P374</f>
        <v>10257260.000000002</v>
      </c>
      <c r="P47" s="376">
        <f>PRESU!Q374</f>
        <v>110721400</v>
      </c>
      <c r="Q47" s="241"/>
      <c r="R47" s="185"/>
    </row>
    <row r="48" spans="1:18" s="1" customFormat="1" ht="9" customHeight="1">
      <c r="A48" s="5"/>
      <c r="B48" s="242"/>
      <c r="C48" s="50"/>
      <c r="D48" s="51"/>
      <c r="E48" s="52"/>
      <c r="F48" s="53"/>
      <c r="G48" s="53"/>
      <c r="H48" s="458"/>
      <c r="I48" s="197"/>
      <c r="J48" s="197"/>
      <c r="K48" s="258"/>
      <c r="L48" s="242"/>
      <c r="M48" s="224"/>
      <c r="N48" s="224"/>
      <c r="O48" s="224"/>
      <c r="P48" s="57"/>
      <c r="Q48" s="243"/>
      <c r="R48" s="185"/>
    </row>
    <row r="49" spans="1:18" s="48" customFormat="1" ht="20.25" customHeight="1">
      <c r="A49" s="43"/>
      <c r="B49" s="240"/>
      <c r="C49" s="395">
        <v>21</v>
      </c>
      <c r="D49" s="45" t="str">
        <f>PRESU!E376</f>
        <v>FUERZA MOTRIZ</v>
      </c>
      <c r="E49" s="46"/>
      <c r="F49" s="47"/>
      <c r="G49" s="47"/>
      <c r="H49" s="457">
        <f>PRESU!I380</f>
        <v>14575291.199999999</v>
      </c>
      <c r="I49" s="436">
        <f>PRESU!J380</f>
        <v>3060811.1519999998</v>
      </c>
      <c r="J49" s="196">
        <f>PRESU!K380</f>
        <v>17636102.351999998</v>
      </c>
      <c r="K49" s="258">
        <f>H49/$H$59</f>
        <v>6.6762202347272108E-3</v>
      </c>
      <c r="L49" s="240"/>
      <c r="M49" s="222">
        <f>PRESU!N380</f>
        <v>2305800</v>
      </c>
      <c r="N49" s="222">
        <f>PRESU!O380</f>
        <v>11940091.199999999</v>
      </c>
      <c r="O49" s="222">
        <f>PRESU!P380</f>
        <v>329400</v>
      </c>
      <c r="P49" s="376">
        <f>PRESU!Q380</f>
        <v>14575291.199999999</v>
      </c>
      <c r="Q49" s="241"/>
      <c r="R49" s="185"/>
    </row>
    <row r="50" spans="1:18" s="1" customFormat="1" ht="9" customHeight="1">
      <c r="A50" s="5"/>
      <c r="B50" s="242"/>
      <c r="C50" s="50"/>
      <c r="D50" s="51"/>
      <c r="E50" s="52"/>
      <c r="F50" s="53"/>
      <c r="G50" s="53"/>
      <c r="H50" s="458"/>
      <c r="I50" s="197"/>
      <c r="J50" s="197"/>
      <c r="K50" s="258"/>
      <c r="L50" s="242"/>
      <c r="M50" s="223"/>
      <c r="N50" s="223"/>
      <c r="O50" s="223"/>
      <c r="P50" s="56"/>
      <c r="Q50" s="243"/>
      <c r="R50" s="185"/>
    </row>
    <row r="51" spans="1:18" s="48" customFormat="1" ht="20.25" customHeight="1">
      <c r="A51" s="43"/>
      <c r="B51" s="240"/>
      <c r="C51" s="395">
        <v>22</v>
      </c>
      <c r="D51" s="45" t="str">
        <f>PRESU!E382</f>
        <v>COMIDAS y ALOJAMIENTOS</v>
      </c>
      <c r="E51" s="268"/>
      <c r="F51" s="47"/>
      <c r="G51" s="47"/>
      <c r="H51" s="457">
        <f>PRESU!I413</f>
        <v>179522611.19999999</v>
      </c>
      <c r="I51" s="436">
        <f>PRESU!J413</f>
        <v>37631708.352000006</v>
      </c>
      <c r="J51" s="196">
        <f>PRESU!K413</f>
        <v>217154319.55199999</v>
      </c>
      <c r="K51" s="258">
        <f>H51/$H$59</f>
        <v>8.2230431834151338E-2</v>
      </c>
      <c r="L51" s="240"/>
      <c r="M51" s="222">
        <f>PRESU!N413</f>
        <v>36115891.200000003</v>
      </c>
      <c r="N51" s="222">
        <f>PRESU!O413</f>
        <v>143406720</v>
      </c>
      <c r="O51" s="222">
        <f>PRESU!P413</f>
        <v>0</v>
      </c>
      <c r="P51" s="376">
        <f>PRESU!Q413</f>
        <v>179522611.19999999</v>
      </c>
      <c r="Q51" s="241"/>
      <c r="R51" s="185"/>
    </row>
    <row r="52" spans="1:18" s="1" customFormat="1" ht="9" customHeight="1">
      <c r="A52" s="5"/>
      <c r="B52" s="242"/>
      <c r="C52" s="50"/>
      <c r="D52" s="51"/>
      <c r="E52" s="52"/>
      <c r="F52" s="53"/>
      <c r="G52" s="53"/>
      <c r="H52" s="458"/>
      <c r="I52" s="197"/>
      <c r="J52" s="197"/>
      <c r="K52" s="404"/>
      <c r="L52" s="242"/>
      <c r="M52" s="223"/>
      <c r="N52" s="223"/>
      <c r="O52" s="223"/>
      <c r="P52" s="56"/>
      <c r="Q52" s="243"/>
      <c r="R52" s="185"/>
    </row>
    <row r="53" spans="1:18" s="48" customFormat="1" ht="20.25" customHeight="1">
      <c r="A53" s="43"/>
      <c r="B53" s="240"/>
      <c r="C53" s="395">
        <v>23</v>
      </c>
      <c r="D53" s="45" t="str">
        <f>PRESU!E415</f>
        <v xml:space="preserve">ADMINISTRACION </v>
      </c>
      <c r="E53" s="46"/>
      <c r="F53" s="47"/>
      <c r="G53" s="47"/>
      <c r="H53" s="457">
        <f>PRESU!I430</f>
        <v>106610736</v>
      </c>
      <c r="I53" s="436">
        <f>PRESU!J430</f>
        <v>15747550.560000001</v>
      </c>
      <c r="J53" s="196">
        <f>PRESU!K430</f>
        <v>122358286.56</v>
      </c>
      <c r="K53" s="404">
        <f>H53/$H$59</f>
        <v>4.8833106876270217E-2</v>
      </c>
      <c r="L53" s="240"/>
      <c r="M53" s="222">
        <f>PRESU!N430</f>
        <v>35181542.879999995</v>
      </c>
      <c r="N53" s="222">
        <f>PRESU!O430</f>
        <v>36247650.240000002</v>
      </c>
      <c r="O53" s="222">
        <f>PRESU!P430</f>
        <v>35181542.879999995</v>
      </c>
      <c r="P53" s="376">
        <f>PRESU!Q430</f>
        <v>106610736</v>
      </c>
      <c r="Q53" s="241"/>
      <c r="R53" s="185"/>
    </row>
    <row r="54" spans="1:18" s="1" customFormat="1" ht="9" customHeight="1">
      <c r="A54" s="5"/>
      <c r="B54" s="242"/>
      <c r="C54" s="50"/>
      <c r="D54" s="51"/>
      <c r="E54" s="52"/>
      <c r="F54" s="53"/>
      <c r="G54" s="53"/>
      <c r="H54" s="458"/>
      <c r="I54" s="197"/>
      <c r="J54" s="197"/>
      <c r="K54" s="404"/>
      <c r="L54" s="242"/>
      <c r="M54" s="224"/>
      <c r="N54" s="224"/>
      <c r="O54" s="224"/>
      <c r="P54" s="57"/>
      <c r="Q54" s="243"/>
      <c r="R54" s="185"/>
    </row>
    <row r="55" spans="1:18" s="48" customFormat="1" ht="20.25" customHeight="1">
      <c r="A55" s="43"/>
      <c r="B55" s="240"/>
      <c r="C55" s="395">
        <v>24</v>
      </c>
      <c r="D55" s="45" t="str">
        <f>PRESU!E432</f>
        <v>SEGUROS</v>
      </c>
      <c r="E55" s="46"/>
      <c r="F55" s="47"/>
      <c r="G55" s="47"/>
      <c r="H55" s="457">
        <f>PRESU!I440</f>
        <v>33058800.000000004</v>
      </c>
      <c r="I55" s="436">
        <f>PRESU!J440</f>
        <v>6942348.0000000009</v>
      </c>
      <c r="J55" s="196">
        <f>PRESU!K440</f>
        <v>40001148.000000007</v>
      </c>
      <c r="K55" s="404">
        <f>H55/$H$59</f>
        <v>1.5142601713219971E-2</v>
      </c>
      <c r="L55" s="240"/>
      <c r="M55" s="222">
        <f>PRESU!N440</f>
        <v>16265880.000000002</v>
      </c>
      <c r="N55" s="222">
        <f>PRESU!O440</f>
        <v>16792920</v>
      </c>
      <c r="O55" s="222">
        <f>PRESU!P440</f>
        <v>0</v>
      </c>
      <c r="P55" s="376">
        <f>PRESU!Q440</f>
        <v>33058800</v>
      </c>
      <c r="Q55" s="241"/>
      <c r="R55" s="185"/>
    </row>
    <row r="56" spans="1:18" s="1" customFormat="1" ht="9" customHeight="1">
      <c r="A56" s="5"/>
      <c r="B56" s="242"/>
      <c r="C56" s="50"/>
      <c r="D56" s="51"/>
      <c r="E56" s="52"/>
      <c r="F56" s="53"/>
      <c r="G56" s="53"/>
      <c r="H56" s="458"/>
      <c r="I56" s="197"/>
      <c r="J56" s="197"/>
      <c r="K56" s="258"/>
      <c r="L56" s="242"/>
      <c r="M56" s="224"/>
      <c r="N56" s="224"/>
      <c r="O56" s="224"/>
      <c r="P56" s="57"/>
      <c r="Q56" s="243"/>
      <c r="R56" s="185"/>
    </row>
    <row r="57" spans="1:18" s="48" customFormat="1" ht="20.25" customHeight="1">
      <c r="A57" s="43"/>
      <c r="B57" s="240"/>
      <c r="C57" s="395">
        <v>25</v>
      </c>
      <c r="D57" s="45" t="str">
        <f>PRESU!E442</f>
        <v>SEGURIDAD E HIGIENE</v>
      </c>
      <c r="E57" s="46"/>
      <c r="F57" s="47"/>
      <c r="G57" s="47"/>
      <c r="H57" s="457">
        <f>PRESU!I449</f>
        <v>14148000</v>
      </c>
      <c r="I57" s="436">
        <f>PRESU!J449</f>
        <v>0</v>
      </c>
      <c r="J57" s="196">
        <f>PRESU!K449</f>
        <v>14148000</v>
      </c>
      <c r="K57" s="258">
        <f>H57/$H$59</f>
        <v>6.4804992630898917E-3</v>
      </c>
      <c r="L57" s="240"/>
      <c r="M57" s="222">
        <f>PRESU!N449</f>
        <v>0</v>
      </c>
      <c r="N57" s="222">
        <f>PRESU!O449</f>
        <v>14148000</v>
      </c>
      <c r="O57" s="222">
        <f>PRESU!P449</f>
        <v>0</v>
      </c>
      <c r="P57" s="376">
        <f>PRESU!Q449</f>
        <v>14148000</v>
      </c>
      <c r="Q57" s="241"/>
      <c r="R57" s="185"/>
    </row>
    <row r="58" spans="1:18" s="1" customFormat="1" ht="9" customHeight="1" thickBot="1">
      <c r="A58" s="5"/>
      <c r="B58" s="242"/>
      <c r="C58" s="58"/>
      <c r="D58" s="59"/>
      <c r="E58" s="60"/>
      <c r="F58" s="40"/>
      <c r="G58" s="40"/>
      <c r="H58" s="459"/>
      <c r="I58" s="62"/>
      <c r="J58" s="62"/>
      <c r="K58" s="256"/>
      <c r="L58" s="242"/>
      <c r="M58" s="224"/>
      <c r="N58" s="262"/>
      <c r="O58" s="224"/>
      <c r="P58" s="61"/>
      <c r="Q58" s="243"/>
      <c r="R58" s="185"/>
    </row>
    <row r="59" spans="1:18" s="67" customFormat="1" ht="20.25" customHeight="1" thickBot="1">
      <c r="A59" s="63"/>
      <c r="B59" s="240"/>
      <c r="C59" s="227"/>
      <c r="D59" s="63"/>
      <c r="E59" s="65"/>
      <c r="F59" s="1034" t="s">
        <v>736</v>
      </c>
      <c r="G59" s="1035"/>
      <c r="H59" s="1020">
        <f>SUM(H9:H57)</f>
        <v>2183165127.5050459</v>
      </c>
      <c r="I59" s="437">
        <f>SUM(I8:I58)</f>
        <v>240578007.9948</v>
      </c>
      <c r="J59" s="264">
        <f>SUM(J8:J58)</f>
        <v>2423743135.499846</v>
      </c>
      <c r="K59" s="260">
        <f>SUM(K9:K57)</f>
        <v>1.0000000000000002</v>
      </c>
      <c r="L59" s="254"/>
      <c r="M59" s="225">
        <f>SUM(M8:M58)</f>
        <v>693778389.25489163</v>
      </c>
      <c r="N59" s="263">
        <f>SUM(N8:N58)</f>
        <v>1075322462.2452269</v>
      </c>
      <c r="O59" s="226">
        <f>SUM(O8:O58)</f>
        <v>414064276.00492752</v>
      </c>
      <c r="P59" s="377">
        <f>SUM(M59:O59)</f>
        <v>2183165127.5050459</v>
      </c>
      <c r="Q59" s="244"/>
      <c r="R59" s="186"/>
    </row>
    <row r="60" spans="1:18" s="1" customFormat="1" ht="17.25" customHeight="1" thickBot="1">
      <c r="A60" s="5"/>
      <c r="B60" s="245"/>
      <c r="C60" s="246"/>
      <c r="D60" s="247"/>
      <c r="E60" s="248"/>
      <c r="F60" s="247"/>
      <c r="G60" s="247"/>
      <c r="H60" s="1021"/>
      <c r="I60" s="249"/>
      <c r="J60" s="249"/>
      <c r="K60" s="261"/>
      <c r="L60" s="245"/>
      <c r="M60" s="250"/>
      <c r="N60" s="250"/>
      <c r="O60" s="250"/>
      <c r="P60" s="251"/>
      <c r="Q60" s="252"/>
      <c r="R60" s="185"/>
    </row>
    <row r="61" spans="1:18" s="1" customFormat="1" ht="17.25" customHeight="1" thickBot="1">
      <c r="A61" s="5"/>
      <c r="B61" s="5"/>
      <c r="C61" s="6"/>
      <c r="D61" s="7"/>
      <c r="E61" s="8"/>
      <c r="F61" s="7"/>
      <c r="G61" s="7"/>
      <c r="H61" s="1016"/>
      <c r="I61" s="9"/>
      <c r="J61" s="9"/>
      <c r="K61" s="161"/>
      <c r="L61" s="5"/>
      <c r="M61" s="220"/>
      <c r="N61" s="220"/>
      <c r="O61" s="220"/>
      <c r="P61" s="5"/>
      <c r="Q61" s="5"/>
      <c r="R61" s="185"/>
    </row>
    <row r="62" spans="1:18">
      <c r="A62" s="5"/>
      <c r="B62" s="228"/>
      <c r="C62" s="229"/>
      <c r="D62" s="230"/>
      <c r="E62" s="231"/>
      <c r="F62" s="230"/>
      <c r="G62" s="230"/>
      <c r="H62" s="1017"/>
      <c r="I62" s="232"/>
      <c r="J62" s="232"/>
      <c r="K62" s="255"/>
      <c r="L62" s="228"/>
      <c r="M62" s="233"/>
      <c r="N62" s="233"/>
      <c r="O62" s="233"/>
      <c r="P62" s="234"/>
      <c r="Q62" s="235"/>
    </row>
    <row r="63" spans="1:18" ht="15.75">
      <c r="A63" s="5"/>
      <c r="B63" s="236"/>
      <c r="C63" s="6"/>
      <c r="D63" s="38"/>
      <c r="E63" s="39"/>
      <c r="F63" s="40"/>
      <c r="G63" s="42"/>
      <c r="H63" s="776"/>
      <c r="I63" s="42"/>
      <c r="J63" s="42"/>
      <c r="K63" s="256"/>
      <c r="L63" s="236"/>
      <c r="M63" s="221"/>
      <c r="N63" s="221"/>
      <c r="O63" s="221"/>
      <c r="P63" s="41"/>
      <c r="Q63" s="237"/>
    </row>
    <row r="64" spans="1:18" ht="18.399999999999999" customHeight="1">
      <c r="A64" s="43"/>
      <c r="B64" s="240"/>
      <c r="C64" s="773">
        <f>PRESU!D473</f>
        <v>26</v>
      </c>
      <c r="D64" s="774" t="str">
        <f>PRESU!E473</f>
        <v>REALIZACION DE TRAILER Y SPOT</v>
      </c>
      <c r="E64" s="46"/>
      <c r="F64" s="47"/>
      <c r="G64" s="47"/>
      <c r="H64" s="457">
        <f>PRESU!I480</f>
        <v>9565178.5199999996</v>
      </c>
      <c r="I64" s="436">
        <f>PRESU!J480</f>
        <v>1242360</v>
      </c>
      <c r="J64" s="196">
        <f>PRESU!K480</f>
        <v>10807538.52</v>
      </c>
      <c r="K64" s="258">
        <f>H64/$H$73</f>
        <v>0.14558144944149737</v>
      </c>
      <c r="L64" s="240"/>
      <c r="M64" s="196">
        <f>PRESU!N480</f>
        <v>0</v>
      </c>
      <c r="N64" s="196">
        <f>PRESU!O480</f>
        <v>0</v>
      </c>
      <c r="O64" s="196">
        <f>PRESU!P480</f>
        <v>9565178.5199999996</v>
      </c>
      <c r="P64" s="376">
        <f>PRESU!Q480</f>
        <v>9565178.5199999996</v>
      </c>
      <c r="Q64" s="241"/>
    </row>
    <row r="65" spans="1:17" ht="15">
      <c r="A65" s="5"/>
      <c r="B65" s="242"/>
      <c r="C65" s="50"/>
      <c r="D65" s="51"/>
      <c r="E65" s="52"/>
      <c r="F65" s="53"/>
      <c r="G65" s="53"/>
      <c r="H65" s="458"/>
      <c r="I65" s="197"/>
      <c r="J65" s="197"/>
      <c r="K65" s="259"/>
      <c r="L65" s="242"/>
      <c r="M65" s="223"/>
      <c r="N65" s="223"/>
      <c r="O65" s="223"/>
      <c r="P65" s="223"/>
      <c r="Q65" s="243"/>
    </row>
    <row r="66" spans="1:17" ht="19.899999999999999" customHeight="1">
      <c r="A66" s="43"/>
      <c r="B66" s="240"/>
      <c r="C66" s="773">
        <f>PRESU!D482</f>
        <v>27</v>
      </c>
      <c r="D66" s="774" t="str">
        <f>PRESU!E482</f>
        <v>COPIA A</v>
      </c>
      <c r="E66" s="46"/>
      <c r="F66" s="47"/>
      <c r="G66" s="47"/>
      <c r="H66" s="457">
        <f>PRESU!I486</f>
        <v>8994000</v>
      </c>
      <c r="I66" s="436">
        <f>PRESU!J486</f>
        <v>1888740</v>
      </c>
      <c r="J66" s="196">
        <f>PRESU!K486</f>
        <v>10882740</v>
      </c>
      <c r="K66" s="258">
        <f>H66/$H$73</f>
        <v>0.13688814626293325</v>
      </c>
      <c r="L66" s="240"/>
      <c r="M66" s="196">
        <f>PRESU!N486</f>
        <v>0</v>
      </c>
      <c r="N66" s="196">
        <f>PRESU!O486</f>
        <v>0</v>
      </c>
      <c r="O66" s="196">
        <f>PRESU!P486</f>
        <v>8994000</v>
      </c>
      <c r="P66" s="376">
        <f>PRESU!Q486</f>
        <v>8994000</v>
      </c>
      <c r="Q66" s="241"/>
    </row>
    <row r="67" spans="1:17" ht="15">
      <c r="A67" s="5"/>
      <c r="B67" s="242"/>
      <c r="C67" s="50"/>
      <c r="D67" s="51"/>
      <c r="E67" s="52"/>
      <c r="F67" s="53"/>
      <c r="G67" s="53"/>
      <c r="H67" s="458"/>
      <c r="I67" s="197"/>
      <c r="J67" s="197"/>
      <c r="K67" s="258"/>
      <c r="L67" s="242"/>
      <c r="M67" s="224"/>
      <c r="N67" s="224"/>
      <c r="O67" s="224"/>
      <c r="P67" s="224"/>
      <c r="Q67" s="243"/>
    </row>
    <row r="68" spans="1:17" ht="17.649999999999999" customHeight="1">
      <c r="A68" s="43"/>
      <c r="B68" s="240"/>
      <c r="C68" s="773">
        <f>PRESU!D488</f>
        <v>28</v>
      </c>
      <c r="D68" s="774" t="str">
        <f>PRESU!E488</f>
        <v>REALIZACION DE AFICHE / IMPRESIONES</v>
      </c>
      <c r="E68" s="46"/>
      <c r="F68" s="47"/>
      <c r="G68" s="47"/>
      <c r="H68" s="457">
        <f>PRESU!I494</f>
        <v>16574100</v>
      </c>
      <c r="I68" s="436">
        <f>PRESU!J494</f>
        <v>3480561</v>
      </c>
      <c r="J68" s="196">
        <f>PRESU!K494</f>
        <v>20054661</v>
      </c>
      <c r="K68" s="258">
        <f>H68/$H$73</f>
        <v>0.25225681843189707</v>
      </c>
      <c r="L68" s="240"/>
      <c r="M68" s="196">
        <f>PRESU!N494</f>
        <v>0</v>
      </c>
      <c r="N68" s="196">
        <f>PRESU!O494</f>
        <v>0</v>
      </c>
      <c r="O68" s="196">
        <f>PRESU!P494</f>
        <v>16574100</v>
      </c>
      <c r="P68" s="376">
        <f>PRESU!Q494</f>
        <v>16574100</v>
      </c>
      <c r="Q68" s="241"/>
    </row>
    <row r="69" spans="1:17" ht="15">
      <c r="A69" s="5"/>
      <c r="B69" s="242"/>
      <c r="C69" s="50"/>
      <c r="D69" s="51"/>
      <c r="E69" s="52"/>
      <c r="F69" s="53"/>
      <c r="G69" s="53"/>
      <c r="H69" s="458"/>
      <c r="I69" s="197"/>
      <c r="J69" s="197"/>
      <c r="K69" s="258"/>
      <c r="L69" s="242"/>
      <c r="M69" s="223"/>
      <c r="N69" s="223"/>
      <c r="O69" s="223"/>
      <c r="P69" s="223"/>
      <c r="Q69" s="243"/>
    </row>
    <row r="70" spans="1:17" ht="18" customHeight="1">
      <c r="A70" s="43"/>
      <c r="B70" s="240"/>
      <c r="C70" s="773">
        <f>PRESU!D496</f>
        <v>29</v>
      </c>
      <c r="D70" s="774" t="str">
        <f>PRESU!E496</f>
        <v>PUBLICIDAD</v>
      </c>
      <c r="E70" s="46"/>
      <c r="F70" s="47"/>
      <c r="G70" s="47"/>
      <c r="H70" s="457">
        <f>PRESU!I501</f>
        <v>30570000</v>
      </c>
      <c r="I70" s="436">
        <f>PRESU!J501</f>
        <v>6419700</v>
      </c>
      <c r="J70" s="196">
        <f>PRESU!K501</f>
        <v>36989700</v>
      </c>
      <c r="K70" s="258">
        <f>H70/$H$73</f>
        <v>0.4652735858636724</v>
      </c>
      <c r="L70" s="240"/>
      <c r="M70" s="196">
        <f>PRESU!N501</f>
        <v>0</v>
      </c>
      <c r="N70" s="196">
        <f>PRESU!O501</f>
        <v>0</v>
      </c>
      <c r="O70" s="196">
        <f>PRESU!P501</f>
        <v>30570000</v>
      </c>
      <c r="P70" s="376">
        <f>PRESU!Q501</f>
        <v>30570000</v>
      </c>
      <c r="Q70" s="241"/>
    </row>
    <row r="71" spans="1:17" ht="15">
      <c r="A71" s="5"/>
      <c r="B71" s="242"/>
      <c r="C71" s="6"/>
      <c r="D71" s="40"/>
      <c r="E71" s="39"/>
      <c r="F71" s="40"/>
      <c r="G71" s="40"/>
      <c r="H71" s="459"/>
      <c r="I71" s="788"/>
      <c r="J71" s="788"/>
      <c r="K71" s="258"/>
      <c r="L71" s="242"/>
      <c r="M71" s="577"/>
      <c r="N71" s="577"/>
      <c r="O71" s="577"/>
      <c r="P71" s="71"/>
      <c r="Q71" s="243"/>
    </row>
    <row r="72" spans="1:17" ht="15.75" thickBot="1">
      <c r="A72" s="5"/>
      <c r="B72" s="242"/>
      <c r="C72" s="6"/>
      <c r="D72" s="40"/>
      <c r="E72" s="39"/>
      <c r="F72" s="40"/>
      <c r="G72" s="40"/>
      <c r="H72" s="775"/>
      <c r="I72" s="776"/>
      <c r="J72" s="776"/>
      <c r="K72" s="256"/>
      <c r="L72" s="242"/>
      <c r="M72" s="577"/>
      <c r="N72" s="577"/>
      <c r="O72" s="577"/>
      <c r="P72" s="777"/>
      <c r="Q72" s="243"/>
    </row>
    <row r="73" spans="1:17" ht="21.4" customHeight="1" thickBot="1">
      <c r="A73" s="63"/>
      <c r="B73" s="240"/>
      <c r="C73" s="227"/>
      <c r="D73" s="63"/>
      <c r="E73" s="65"/>
      <c r="F73" s="1034" t="s">
        <v>737</v>
      </c>
      <c r="G73" s="1035"/>
      <c r="H73" s="1020">
        <f>SUM(H63:H70)</f>
        <v>65703278.519999996</v>
      </c>
      <c r="I73" s="437">
        <f>SUM(I62:I71)</f>
        <v>13031361</v>
      </c>
      <c r="J73" s="264">
        <f>SUM(J62:J71)</f>
        <v>78734639.519999996</v>
      </c>
      <c r="K73" s="260">
        <f>SUM(K63:K70)</f>
        <v>1</v>
      </c>
      <c r="L73" s="254"/>
      <c r="M73" s="225">
        <f>SUM(M62:M71)</f>
        <v>0</v>
      </c>
      <c r="N73" s="263">
        <f>SUM(N62:N71)</f>
        <v>0</v>
      </c>
      <c r="O73" s="226">
        <f>SUM(O62:O71)</f>
        <v>65703278.519999996</v>
      </c>
      <c r="P73" s="377">
        <f>SUM(M73:O73)</f>
        <v>65703278.519999996</v>
      </c>
      <c r="Q73" s="244"/>
    </row>
    <row r="74" spans="1:17" ht="15">
      <c r="A74" s="5"/>
      <c r="B74" s="242"/>
      <c r="C74" s="6"/>
      <c r="D74" s="67"/>
      <c r="E74" s="39"/>
      <c r="F74" s="40"/>
      <c r="G74" s="40"/>
      <c r="H74" s="777"/>
      <c r="I74" s="776"/>
      <c r="J74" s="776"/>
      <c r="K74" s="256"/>
      <c r="L74" s="242"/>
      <c r="M74" s="577"/>
      <c r="N74" s="577"/>
      <c r="O74" s="577"/>
      <c r="P74" s="777"/>
      <c r="Q74" s="243"/>
    </row>
    <row r="75" spans="1:17" ht="15" thickBot="1">
      <c r="A75" s="5"/>
      <c r="B75" s="245"/>
      <c r="C75" s="246"/>
      <c r="D75" s="247"/>
      <c r="E75" s="248"/>
      <c r="F75" s="247"/>
      <c r="G75" s="247"/>
      <c r="H75" s="1021"/>
      <c r="I75" s="249"/>
      <c r="J75" s="249"/>
      <c r="K75" s="261"/>
      <c r="L75" s="245"/>
      <c r="M75" s="250"/>
      <c r="N75" s="250"/>
      <c r="O75" s="250"/>
      <c r="P75" s="251"/>
      <c r="Q75" s="252"/>
    </row>
    <row r="77" spans="1:17" ht="15" thickBot="1">
      <c r="P77" s="370"/>
    </row>
    <row r="78" spans="1:17" ht="15" thickBot="1">
      <c r="B78" s="789"/>
      <c r="C78" s="790"/>
      <c r="D78" s="790"/>
      <c r="E78" s="790"/>
      <c r="F78" s="790"/>
      <c r="G78" s="790"/>
      <c r="H78" s="1022"/>
      <c r="I78" s="790"/>
      <c r="J78" s="790"/>
      <c r="K78" s="790"/>
      <c r="L78" s="789"/>
      <c r="M78" s="791"/>
      <c r="N78" s="791"/>
      <c r="O78" s="791"/>
      <c r="P78" s="790"/>
      <c r="Q78" s="792"/>
    </row>
    <row r="79" spans="1:17" ht="16.5" thickBot="1">
      <c r="A79" s="63"/>
      <c r="B79" s="240"/>
      <c r="C79" s="227"/>
      <c r="D79" s="63"/>
      <c r="E79" s="65"/>
      <c r="F79" s="1032" t="s">
        <v>767</v>
      </c>
      <c r="G79" s="1033"/>
      <c r="H79" s="1020">
        <f>H59+H73</f>
        <v>2248868406.0250459</v>
      </c>
      <c r="I79" s="437">
        <f>I73+I59</f>
        <v>253609368.9948</v>
      </c>
      <c r="J79" s="264">
        <f>J73+J59</f>
        <v>2502477775.019846</v>
      </c>
      <c r="K79" s="799"/>
      <c r="L79" s="254"/>
      <c r="M79" s="797">
        <f>M73+M59</f>
        <v>693778389.25489163</v>
      </c>
      <c r="N79" s="798">
        <f>N73+N59</f>
        <v>1075322462.2452269</v>
      </c>
      <c r="O79" s="437">
        <f>O73+O59</f>
        <v>479767554.5249275</v>
      </c>
      <c r="P79" s="377">
        <f>SUM(M79:O79)</f>
        <v>2248868406.0250459</v>
      </c>
      <c r="Q79" s="244"/>
    </row>
    <row r="80" spans="1:17" ht="15" thickBot="1">
      <c r="B80" s="793"/>
      <c r="C80" s="794"/>
      <c r="D80" s="794"/>
      <c r="E80" s="794"/>
      <c r="F80" s="794"/>
      <c r="G80" s="794"/>
      <c r="H80" s="1023"/>
      <c r="I80" s="794"/>
      <c r="J80" s="794"/>
      <c r="K80" s="794"/>
      <c r="L80" s="793"/>
      <c r="M80" s="795"/>
      <c r="N80" s="795"/>
      <c r="O80" s="795"/>
      <c r="P80" s="794"/>
      <c r="Q80" s="796"/>
    </row>
  </sheetData>
  <mergeCells count="6">
    <mergeCell ref="F79:G79"/>
    <mergeCell ref="F73:G73"/>
    <mergeCell ref="C4:C6"/>
    <mergeCell ref="D4:D6"/>
    <mergeCell ref="M4:P6"/>
    <mergeCell ref="F59:G59"/>
  </mergeCells>
  <pageMargins left="0.7" right="0.7" top="0.75" bottom="0.75" header="0.3" footer="0.3"/>
  <pageSetup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509"/>
  <sheetViews>
    <sheetView topLeftCell="E1" zoomScale="130" zoomScaleNormal="130" workbookViewId="0">
      <selection activeCell="I512" sqref="I512"/>
    </sheetView>
  </sheetViews>
  <sheetFormatPr baseColWidth="10" defaultColWidth="11.28515625" defaultRowHeight="12.75"/>
  <cols>
    <col min="1" max="1" width="1.28515625" style="1" customWidth="1"/>
    <col min="2" max="2" width="0.42578125" style="299" customWidth="1"/>
    <col min="3" max="3" width="4.28515625" style="831" customWidth="1"/>
    <col min="4" max="4" width="4.7109375" style="721" customWidth="1"/>
    <col min="5" max="5" width="90.42578125" style="2" bestFit="1" customWidth="1"/>
    <col min="6" max="6" width="18.28515625" style="3" bestFit="1" customWidth="1"/>
    <col min="7" max="7" width="15.85546875" style="2" bestFit="1" customWidth="1"/>
    <col min="8" max="8" width="15.7109375" style="2" customWidth="1"/>
    <col min="9" max="9" width="17.7109375" style="2" bestFit="1" customWidth="1"/>
    <col min="10" max="10" width="15.42578125" style="4" bestFit="1" customWidth="1"/>
    <col min="11" max="11" width="17.7109375" style="4" bestFit="1" customWidth="1"/>
    <col min="12" max="13" width="2.42578125" style="168" customWidth="1"/>
    <col min="14" max="17" width="12.140625" style="1" bestFit="1" customWidth="1"/>
    <col min="18" max="18" width="2.140625" style="1" customWidth="1"/>
    <col min="19" max="19" width="49.140625" style="187" hidden="1" customWidth="1"/>
    <col min="20" max="20" width="2.140625" style="1" customWidth="1"/>
    <col min="21" max="21" width="12.85546875" style="1" bestFit="1" customWidth="1"/>
    <col min="22" max="22" width="11.28515625" style="1"/>
    <col min="23" max="23" width="14.42578125" style="1" bestFit="1" customWidth="1"/>
    <col min="24" max="16384" width="11.28515625" style="1"/>
  </cols>
  <sheetData>
    <row r="1" spans="1:23" ht="12.75" customHeight="1" thickBot="1">
      <c r="A1" s="5"/>
      <c r="B1" s="220"/>
      <c r="C1" s="807"/>
      <c r="D1" s="719"/>
      <c r="E1" s="7"/>
      <c r="F1" s="8"/>
      <c r="H1" s="7"/>
      <c r="I1" s="7"/>
      <c r="J1" s="9"/>
      <c r="K1" s="9"/>
      <c r="L1" s="161"/>
      <c r="M1" s="5"/>
      <c r="N1" s="5"/>
      <c r="O1" s="5"/>
      <c r="P1" s="5"/>
      <c r="Q1" s="5"/>
      <c r="R1" s="5"/>
      <c r="S1" s="185"/>
    </row>
    <row r="2" spans="1:23" ht="17.25" customHeight="1" thickTop="1" thickBot="1">
      <c r="A2" s="5"/>
      <c r="B2" s="289"/>
      <c r="C2" s="808"/>
      <c r="D2" s="720"/>
      <c r="E2" s="11"/>
      <c r="F2" s="12"/>
      <c r="G2" s="575"/>
      <c r="H2" s="11"/>
      <c r="I2" s="11"/>
      <c r="J2" s="13"/>
      <c r="K2" s="13"/>
      <c r="L2" s="162"/>
      <c r="M2" s="15"/>
      <c r="N2" s="15"/>
      <c r="O2" s="15"/>
      <c r="P2" s="15"/>
      <c r="Q2" s="15"/>
      <c r="R2" s="14"/>
      <c r="S2" s="185"/>
    </row>
    <row r="3" spans="1:23" ht="15.75" customHeight="1" thickBot="1">
      <c r="A3" s="5"/>
      <c r="B3" s="290"/>
      <c r="C3" s="807"/>
      <c r="D3" s="1046"/>
      <c r="E3" s="1047" t="s">
        <v>356</v>
      </c>
      <c r="F3" s="779" t="s">
        <v>0</v>
      </c>
      <c r="G3" s="780">
        <v>7</v>
      </c>
      <c r="H3" s="918" t="s">
        <v>1</v>
      </c>
      <c r="I3" s="919">
        <v>0</v>
      </c>
      <c r="J3" s="778" t="s">
        <v>2</v>
      </c>
      <c r="K3" s="21">
        <v>30</v>
      </c>
      <c r="L3" s="163"/>
      <c r="M3" s="296"/>
      <c r="N3" s="1042" t="s">
        <v>3</v>
      </c>
      <c r="O3" s="1042"/>
      <c r="P3" s="1042"/>
      <c r="Q3" s="1042"/>
      <c r="R3" s="22"/>
      <c r="S3" s="185"/>
    </row>
    <row r="4" spans="1:23" ht="15.75" customHeight="1" thickBot="1">
      <c r="A4" s="5"/>
      <c r="B4" s="290"/>
      <c r="C4" s="807"/>
      <c r="D4" s="1046"/>
      <c r="E4" s="1048"/>
      <c r="F4" s="576" t="s">
        <v>4</v>
      </c>
      <c r="G4" s="388">
        <v>6</v>
      </c>
      <c r="H4" s="131" t="s">
        <v>5</v>
      </c>
      <c r="I4" s="920">
        <v>0</v>
      </c>
      <c r="J4" s="219" t="s">
        <v>348</v>
      </c>
      <c r="K4" s="279">
        <v>20</v>
      </c>
      <c r="L4" s="163"/>
      <c r="M4" s="296"/>
      <c r="N4" s="1042"/>
      <c r="O4" s="1042"/>
      <c r="P4" s="1042"/>
      <c r="Q4" s="1042"/>
      <c r="R4" s="22"/>
      <c r="S4" s="185"/>
    </row>
    <row r="5" spans="1:23" ht="19.899999999999999" customHeight="1" thickBot="1">
      <c r="A5" s="5"/>
      <c r="B5" s="290"/>
      <c r="C5" s="807"/>
      <c r="D5" s="1046"/>
      <c r="E5" s="1049"/>
      <c r="F5" s="576" t="s">
        <v>6</v>
      </c>
      <c r="G5" s="388">
        <v>10</v>
      </c>
      <c r="H5" s="131" t="s">
        <v>7</v>
      </c>
      <c r="I5" s="920">
        <f>5*2.25</f>
        <v>11.25</v>
      </c>
      <c r="J5" s="278" t="s">
        <v>274</v>
      </c>
      <c r="K5" s="280">
        <v>10</v>
      </c>
      <c r="L5" s="163"/>
      <c r="M5" s="296"/>
      <c r="N5" s="1042"/>
      <c r="O5" s="1042"/>
      <c r="P5" s="1042"/>
      <c r="Q5" s="1042"/>
      <c r="R5" s="22"/>
      <c r="S5" s="185"/>
    </row>
    <row r="6" spans="1:23" ht="18.75" thickBot="1">
      <c r="A6" s="5"/>
      <c r="B6" s="290"/>
      <c r="C6" s="807"/>
      <c r="D6" s="719"/>
      <c r="E6" s="781"/>
      <c r="F6" s="922" t="s">
        <v>758</v>
      </c>
      <c r="G6" s="923">
        <v>1.08</v>
      </c>
      <c r="H6" s="782"/>
      <c r="I6" s="921"/>
      <c r="J6" s="278"/>
      <c r="K6" s="280"/>
      <c r="L6" s="163"/>
      <c r="M6" s="296"/>
      <c r="N6" s="756"/>
      <c r="O6" s="757"/>
      <c r="P6" s="757"/>
      <c r="Q6" s="563"/>
      <c r="R6" s="22"/>
      <c r="S6" s="185"/>
    </row>
    <row r="7" spans="1:23" s="37" customFormat="1" ht="20.25" customHeight="1" thickBot="1">
      <c r="A7" s="26"/>
      <c r="B7" s="291"/>
      <c r="C7" s="809"/>
      <c r="D7" s="719"/>
      <c r="E7" s="783" t="s">
        <v>8</v>
      </c>
      <c r="F7" s="924" t="s">
        <v>759</v>
      </c>
      <c r="G7" s="925">
        <v>1550</v>
      </c>
      <c r="H7" s="784"/>
      <c r="I7" s="784"/>
      <c r="J7" s="32" t="s">
        <v>10</v>
      </c>
      <c r="K7" s="33" t="s">
        <v>11</v>
      </c>
      <c r="L7" s="164"/>
      <c r="M7" s="296"/>
      <c r="N7" s="35" t="s">
        <v>12</v>
      </c>
      <c r="O7" s="36" t="s">
        <v>13</v>
      </c>
      <c r="P7" s="36" t="s">
        <v>14</v>
      </c>
      <c r="Q7" s="375" t="s">
        <v>9</v>
      </c>
      <c r="R7" s="34"/>
      <c r="S7" s="186"/>
    </row>
    <row r="8" spans="1:23" ht="13.5" thickBot="1">
      <c r="A8" s="5"/>
      <c r="B8" s="290"/>
      <c r="C8" s="807"/>
      <c r="E8" s="69"/>
      <c r="F8" s="8"/>
      <c r="G8" s="7"/>
      <c r="H8" s="7"/>
      <c r="I8" s="70"/>
      <c r="J8" s="9"/>
      <c r="K8" s="9"/>
      <c r="L8" s="163"/>
      <c r="M8" s="296"/>
      <c r="N8" s="71"/>
      <c r="O8" s="71"/>
      <c r="P8" s="71"/>
      <c r="Q8" s="72"/>
      <c r="R8" s="22"/>
      <c r="S8" s="185"/>
    </row>
    <row r="9" spans="1:23" s="48" customFormat="1" ht="20.25" customHeight="1" thickBot="1">
      <c r="A9" s="43"/>
      <c r="B9" s="292"/>
      <c r="C9" s="810"/>
      <c r="D9" s="719"/>
      <c r="E9" s="180" t="s">
        <v>16</v>
      </c>
      <c r="F9" s="73"/>
      <c r="G9" s="73"/>
      <c r="H9" s="73"/>
      <c r="I9" s="73"/>
      <c r="J9" s="75"/>
      <c r="K9" s="75"/>
      <c r="L9" s="167"/>
      <c r="M9" s="296"/>
      <c r="N9" s="1040" t="s">
        <v>3</v>
      </c>
      <c r="O9" s="1040"/>
      <c r="P9" s="1040"/>
      <c r="Q9" s="1040"/>
      <c r="R9" s="76"/>
      <c r="S9" s="185"/>
      <c r="W9" s="1"/>
    </row>
    <row r="10" spans="1:23" ht="30" customHeight="1">
      <c r="A10" s="5"/>
      <c r="B10" s="290"/>
      <c r="C10" s="807"/>
      <c r="E10" s="69"/>
      <c r="F10" s="8"/>
      <c r="G10" s="70"/>
      <c r="H10" s="7"/>
      <c r="I10" s="70"/>
      <c r="J10" s="9"/>
      <c r="K10" s="9"/>
      <c r="L10" s="163"/>
      <c r="M10" s="296"/>
      <c r="N10" s="71"/>
      <c r="O10" s="71"/>
      <c r="P10" s="71"/>
      <c r="Q10" s="72"/>
      <c r="R10" s="22"/>
      <c r="S10" s="185"/>
    </row>
    <row r="11" spans="1:23" s="67" customFormat="1" ht="15" customHeight="1">
      <c r="A11" s="63"/>
      <c r="B11" s="293"/>
      <c r="C11" s="811"/>
      <c r="D11" s="755">
        <v>1</v>
      </c>
      <c r="E11" s="45" t="s">
        <v>17</v>
      </c>
      <c r="F11" s="78" t="s">
        <v>18</v>
      </c>
      <c r="G11" s="389" t="s">
        <v>19</v>
      </c>
      <c r="H11" s="80" t="s">
        <v>20</v>
      </c>
      <c r="I11" s="381" t="s">
        <v>9</v>
      </c>
      <c r="J11" s="81" t="s">
        <v>10</v>
      </c>
      <c r="K11" s="81" t="s">
        <v>11</v>
      </c>
      <c r="L11" s="165"/>
      <c r="M11" s="296"/>
      <c r="N11" s="83" t="s">
        <v>12</v>
      </c>
      <c r="O11" s="83" t="s">
        <v>13</v>
      </c>
      <c r="P11" s="83" t="s">
        <v>14</v>
      </c>
      <c r="Q11" s="378" t="s">
        <v>9</v>
      </c>
      <c r="R11" s="82"/>
      <c r="S11" s="186"/>
      <c r="U11" s="1"/>
      <c r="V11" s="1"/>
      <c r="W11" s="1"/>
    </row>
    <row r="12" spans="1:23" ht="15" customHeight="1">
      <c r="A12" s="5"/>
      <c r="B12" s="294"/>
      <c r="C12" s="812"/>
      <c r="D12" s="719" t="s">
        <v>389</v>
      </c>
      <c r="E12" s="198" t="s">
        <v>369</v>
      </c>
      <c r="F12" s="85" t="s">
        <v>21</v>
      </c>
      <c r="G12" s="578">
        <v>10000000</v>
      </c>
      <c r="H12" s="579">
        <v>1</v>
      </c>
      <c r="I12" s="86">
        <f>G12*H12</f>
        <v>10000000</v>
      </c>
      <c r="J12" s="580"/>
      <c r="K12" s="580">
        <f>I12+J12</f>
        <v>10000000</v>
      </c>
      <c r="L12" s="165"/>
      <c r="M12" s="296"/>
      <c r="N12" s="86">
        <f>K12</f>
        <v>10000000</v>
      </c>
      <c r="O12" s="580"/>
      <c r="P12" s="86"/>
      <c r="Q12" s="87"/>
      <c r="R12" s="55"/>
      <c r="S12" s="186"/>
    </row>
    <row r="13" spans="1:23" ht="15" customHeight="1">
      <c r="A13" s="5"/>
      <c r="B13" s="294"/>
      <c r="C13" s="812"/>
      <c r="D13" s="719" t="s">
        <v>390</v>
      </c>
      <c r="E13" s="88" t="s">
        <v>370</v>
      </c>
      <c r="F13" s="89" t="s">
        <v>21</v>
      </c>
      <c r="G13" s="578">
        <v>86656713</v>
      </c>
      <c r="H13" s="581">
        <v>1</v>
      </c>
      <c r="I13" s="86">
        <f>G13*H13</f>
        <v>86656713</v>
      </c>
      <c r="J13" s="580"/>
      <c r="K13" s="580">
        <f t="shared" ref="K13:K19" si="0">I13+J13</f>
        <v>86656713</v>
      </c>
      <c r="L13" s="163"/>
      <c r="M13" s="296"/>
      <c r="N13" s="86">
        <f t="shared" ref="N13:N19" si="1">K13</f>
        <v>86656713</v>
      </c>
      <c r="O13" s="580"/>
      <c r="P13" s="86"/>
      <c r="Q13" s="87"/>
      <c r="R13" s="55"/>
      <c r="S13" s="582" t="s">
        <v>230</v>
      </c>
    </row>
    <row r="14" spans="1:23" ht="15" customHeight="1">
      <c r="A14" s="5"/>
      <c r="B14" s="294"/>
      <c r="C14" s="812"/>
      <c r="D14" s="719" t="s">
        <v>391</v>
      </c>
      <c r="E14" s="88" t="s">
        <v>22</v>
      </c>
      <c r="F14" s="89" t="s">
        <v>21</v>
      </c>
      <c r="G14" s="578">
        <v>0</v>
      </c>
      <c r="H14" s="581">
        <v>1</v>
      </c>
      <c r="I14" s="86">
        <f>G14*H14</f>
        <v>0</v>
      </c>
      <c r="J14" s="580"/>
      <c r="K14" s="580">
        <f t="shared" si="0"/>
        <v>0</v>
      </c>
      <c r="L14" s="163"/>
      <c r="M14" s="296"/>
      <c r="N14" s="86">
        <f t="shared" si="1"/>
        <v>0</v>
      </c>
      <c r="O14" s="580"/>
      <c r="P14" s="86"/>
      <c r="Q14" s="87"/>
      <c r="R14" s="55"/>
      <c r="S14" s="185"/>
    </row>
    <row r="15" spans="1:23" ht="15" customHeight="1">
      <c r="A15" s="5"/>
      <c r="B15" s="294"/>
      <c r="C15" s="812"/>
      <c r="D15" s="719" t="s">
        <v>392</v>
      </c>
      <c r="E15" s="860" t="s">
        <v>371</v>
      </c>
      <c r="F15" s="878"/>
      <c r="G15" s="926"/>
      <c r="H15" s="927"/>
      <c r="I15" s="870"/>
      <c r="J15" s="580"/>
      <c r="K15" s="580"/>
      <c r="L15" s="163"/>
      <c r="M15" s="296"/>
      <c r="N15" s="86"/>
      <c r="O15" s="580"/>
      <c r="P15" s="86"/>
      <c r="Q15" s="87"/>
      <c r="R15" s="55"/>
      <c r="S15" s="185"/>
    </row>
    <row r="16" spans="1:23" ht="15" customHeight="1">
      <c r="A16" s="5"/>
      <c r="B16" s="294"/>
      <c r="C16" s="812"/>
      <c r="D16" s="719" t="s">
        <v>393</v>
      </c>
      <c r="E16" s="91" t="s">
        <v>229</v>
      </c>
      <c r="F16" s="89" t="s">
        <v>21</v>
      </c>
      <c r="G16" s="580">
        <v>2400000</v>
      </c>
      <c r="H16" s="581">
        <v>1</v>
      </c>
      <c r="I16" s="86">
        <f>G16*H16</f>
        <v>2400000</v>
      </c>
      <c r="J16" s="580"/>
      <c r="K16" s="580">
        <f t="shared" si="0"/>
        <v>2400000</v>
      </c>
      <c r="L16" s="163"/>
      <c r="M16" s="296"/>
      <c r="N16" s="86">
        <f t="shared" si="1"/>
        <v>2400000</v>
      </c>
      <c r="O16" s="580"/>
      <c r="P16" s="86"/>
      <c r="Q16" s="87"/>
      <c r="R16" s="55"/>
      <c r="S16" s="185"/>
    </row>
    <row r="17" spans="1:23" ht="15" customHeight="1">
      <c r="A17" s="5"/>
      <c r="B17" s="294"/>
      <c r="C17" s="812"/>
      <c r="D17" s="719" t="s">
        <v>394</v>
      </c>
      <c r="E17" s="88" t="s">
        <v>23</v>
      </c>
      <c r="F17" s="89" t="s">
        <v>24</v>
      </c>
      <c r="G17" s="580">
        <v>10000</v>
      </c>
      <c r="H17" s="581">
        <v>1</v>
      </c>
      <c r="I17" s="86">
        <f>G17*H17</f>
        <v>10000</v>
      </c>
      <c r="J17" s="580"/>
      <c r="K17" s="580">
        <f t="shared" si="0"/>
        <v>10000</v>
      </c>
      <c r="L17" s="165"/>
      <c r="M17" s="296"/>
      <c r="N17" s="86">
        <f t="shared" si="1"/>
        <v>10000</v>
      </c>
      <c r="O17" s="580"/>
      <c r="P17" s="86"/>
      <c r="Q17" s="87"/>
      <c r="R17" s="55"/>
      <c r="S17" s="185"/>
    </row>
    <row r="18" spans="1:23" ht="15" customHeight="1">
      <c r="A18" s="5"/>
      <c r="B18" s="294"/>
      <c r="C18" s="812"/>
      <c r="D18" s="719" t="s">
        <v>395</v>
      </c>
      <c r="E18" s="88" t="s">
        <v>372</v>
      </c>
      <c r="F18" s="89"/>
      <c r="G18" s="580"/>
      <c r="H18" s="581"/>
      <c r="I18" s="86"/>
      <c r="J18" s="580"/>
      <c r="K18" s="580"/>
      <c r="L18" s="165"/>
      <c r="M18" s="296"/>
      <c r="N18" s="86"/>
      <c r="O18" s="580"/>
      <c r="P18" s="86"/>
      <c r="Q18" s="87"/>
      <c r="R18" s="55"/>
      <c r="S18" s="185"/>
    </row>
    <row r="19" spans="1:23" ht="15" customHeight="1">
      <c r="A19" s="5"/>
      <c r="B19" s="294"/>
      <c r="C19" s="812"/>
      <c r="D19" s="719" t="s">
        <v>396</v>
      </c>
      <c r="E19" s="88" t="s">
        <v>122</v>
      </c>
      <c r="F19" s="89" t="s">
        <v>21</v>
      </c>
      <c r="G19" s="580">
        <v>0</v>
      </c>
      <c r="H19" s="581">
        <v>1</v>
      </c>
      <c r="I19" s="86">
        <f t="shared" ref="I19" si="2">G19*H19</f>
        <v>0</v>
      </c>
      <c r="J19" s="580"/>
      <c r="K19" s="580">
        <f t="shared" si="0"/>
        <v>0</v>
      </c>
      <c r="L19" s="165"/>
      <c r="M19" s="296"/>
      <c r="N19" s="86">
        <f t="shared" si="1"/>
        <v>0</v>
      </c>
      <c r="O19" s="580"/>
      <c r="P19" s="86"/>
      <c r="Q19" s="87"/>
      <c r="R19" s="55"/>
      <c r="S19" s="185"/>
    </row>
    <row r="20" spans="1:23" s="67" customFormat="1" ht="15" customHeight="1">
      <c r="A20" s="63"/>
      <c r="B20" s="295"/>
      <c r="C20" s="813">
        <f>SUM(D12:D19)</f>
        <v>0</v>
      </c>
      <c r="D20" s="721"/>
      <c r="E20" s="160" t="s">
        <v>25</v>
      </c>
      <c r="F20" s="92"/>
      <c r="G20" s="1041" t="s">
        <v>26</v>
      </c>
      <c r="H20" s="1041" t="s">
        <v>15</v>
      </c>
      <c r="I20" s="380">
        <f>SUM(I12:I19)</f>
        <v>99066713</v>
      </c>
      <c r="J20" s="93">
        <f>SUM(J12:J19)</f>
        <v>0</v>
      </c>
      <c r="K20" s="93">
        <f>SUM(K12:K19)</f>
        <v>99066713</v>
      </c>
      <c r="L20" s="396"/>
      <c r="M20" s="296"/>
      <c r="N20" s="94">
        <f>SUM(N12:N19)</f>
        <v>99066713</v>
      </c>
      <c r="O20" s="95">
        <f>SUM(O12:O19)</f>
        <v>0</v>
      </c>
      <c r="P20" s="96">
        <f>SUM(P12:P19)</f>
        <v>0</v>
      </c>
      <c r="Q20" s="379">
        <f>SUM(N20:P20)</f>
        <v>99066713</v>
      </c>
      <c r="R20" s="66"/>
      <c r="S20" s="186"/>
      <c r="W20" s="1"/>
    </row>
    <row r="21" spans="1:23" ht="30" customHeight="1">
      <c r="A21" s="5"/>
      <c r="B21" s="290"/>
      <c r="C21" s="807"/>
      <c r="D21" s="719"/>
      <c r="E21" s="69"/>
      <c r="F21" s="8"/>
      <c r="G21" s="70"/>
      <c r="H21" s="7"/>
      <c r="I21" s="70"/>
      <c r="J21" s="9"/>
      <c r="K21" s="9"/>
      <c r="L21" s="163"/>
      <c r="M21" s="296"/>
      <c r="N21" s="71"/>
      <c r="O21" s="71"/>
      <c r="P21" s="71"/>
      <c r="Q21" s="72"/>
      <c r="R21" s="22"/>
      <c r="S21" s="185"/>
    </row>
    <row r="22" spans="1:23" s="67" customFormat="1" ht="15" customHeight="1">
      <c r="A22" s="63"/>
      <c r="B22" s="293"/>
      <c r="C22" s="811"/>
      <c r="D22" s="755">
        <v>2</v>
      </c>
      <c r="E22" s="45" t="s">
        <v>27</v>
      </c>
      <c r="F22" s="78" t="s">
        <v>18</v>
      </c>
      <c r="G22" s="389" t="s">
        <v>19</v>
      </c>
      <c r="H22" s="364" t="s">
        <v>20</v>
      </c>
      <c r="I22" s="381" t="s">
        <v>9</v>
      </c>
      <c r="J22" s="81" t="s">
        <v>10</v>
      </c>
      <c r="K22" s="81" t="s">
        <v>11</v>
      </c>
      <c r="L22" s="165"/>
      <c r="M22" s="296"/>
      <c r="N22" s="83" t="s">
        <v>12</v>
      </c>
      <c r="O22" s="83" t="s">
        <v>13</v>
      </c>
      <c r="P22" s="83" t="s">
        <v>14</v>
      </c>
      <c r="Q22" s="378" t="s">
        <v>9</v>
      </c>
      <c r="R22" s="82"/>
      <c r="S22" s="185"/>
      <c r="U22" s="1"/>
      <c r="W22" s="1"/>
    </row>
    <row r="23" spans="1:23" s="5" customFormat="1" ht="15" customHeight="1">
      <c r="B23" s="294"/>
      <c r="C23" s="814">
        <v>1</v>
      </c>
      <c r="D23" s="719" t="s">
        <v>397</v>
      </c>
      <c r="E23" s="88" t="s">
        <v>373</v>
      </c>
      <c r="F23" s="89" t="s">
        <v>21</v>
      </c>
      <c r="G23" s="578">
        <v>173313425</v>
      </c>
      <c r="H23" s="581">
        <v>1</v>
      </c>
      <c r="I23" s="86">
        <f>G23*H23</f>
        <v>173313425</v>
      </c>
      <c r="J23" s="97">
        <f>I23*21%</f>
        <v>36395819.25</v>
      </c>
      <c r="K23" s="97">
        <f>I23+J23</f>
        <v>209709244.25</v>
      </c>
      <c r="L23" s="163"/>
      <c r="M23" s="296"/>
      <c r="N23" s="86">
        <f>I23*33%</f>
        <v>57193430.25</v>
      </c>
      <c r="O23" s="86">
        <f>I23*34%</f>
        <v>58926564.500000007</v>
      </c>
      <c r="P23" s="86">
        <f>I23-N23-O23</f>
        <v>57193430.249999993</v>
      </c>
      <c r="Q23" s="87"/>
      <c r="R23" s="55"/>
      <c r="S23" s="583" t="e">
        <f>52800000-PRESU!#REF!</f>
        <v>#REF!</v>
      </c>
      <c r="U23" s="1"/>
    </row>
    <row r="24" spans="1:23" s="5" customFormat="1" ht="15" customHeight="1">
      <c r="B24" s="294"/>
      <c r="C24" s="815"/>
      <c r="D24" s="719" t="s">
        <v>398</v>
      </c>
      <c r="E24" s="860" t="s">
        <v>374</v>
      </c>
      <c r="F24" s="878"/>
      <c r="G24" s="869">
        <v>0</v>
      </c>
      <c r="H24" s="927">
        <v>1</v>
      </c>
      <c r="I24" s="870">
        <f>G24*H24</f>
        <v>0</v>
      </c>
      <c r="J24" s="86">
        <f>I24*21%</f>
        <v>0</v>
      </c>
      <c r="K24" s="86">
        <f>I24</f>
        <v>0</v>
      </c>
      <c r="L24" s="163"/>
      <c r="M24" s="296"/>
      <c r="N24" s="86"/>
      <c r="O24" s="86"/>
      <c r="P24" s="86"/>
      <c r="Q24" s="87"/>
      <c r="R24" s="55"/>
      <c r="S24" s="185"/>
    </row>
    <row r="25" spans="1:23" s="67" customFormat="1" ht="15" customHeight="1">
      <c r="A25" s="63"/>
      <c r="B25" s="295"/>
      <c r="C25" s="816">
        <f>SUM(C23:C24)</f>
        <v>1</v>
      </c>
      <c r="D25" s="721"/>
      <c r="E25" s="98"/>
      <c r="F25" s="92"/>
      <c r="G25" s="1041" t="s">
        <v>28</v>
      </c>
      <c r="H25" s="1041" t="s">
        <v>15</v>
      </c>
      <c r="I25" s="380">
        <f>SUM(I23:I24)</f>
        <v>173313425</v>
      </c>
      <c r="J25" s="93">
        <f>SUM(J23:J24)</f>
        <v>36395819.25</v>
      </c>
      <c r="K25" s="93">
        <f>SUM(K23:K24)</f>
        <v>209709244.25</v>
      </c>
      <c r="L25" s="165"/>
      <c r="M25" s="296"/>
      <c r="N25" s="94">
        <f>SUM(N23:N24)</f>
        <v>57193430.25</v>
      </c>
      <c r="O25" s="95">
        <f>SUM(O23:O24)</f>
        <v>58926564.500000007</v>
      </c>
      <c r="P25" s="96">
        <f>SUM(P23:P24)</f>
        <v>57193430.249999993</v>
      </c>
      <c r="Q25" s="379">
        <f>SUM(N25:P25)</f>
        <v>173313425</v>
      </c>
      <c r="R25" s="66"/>
      <c r="S25" s="186"/>
      <c r="W25" s="1"/>
    </row>
    <row r="26" spans="1:23" ht="30" customHeight="1">
      <c r="A26" s="5"/>
      <c r="B26" s="290"/>
      <c r="C26" s="807"/>
      <c r="D26" s="719"/>
      <c r="E26" s="98"/>
      <c r="F26" s="8"/>
      <c r="G26" s="70"/>
      <c r="H26" s="7"/>
      <c r="I26" s="70"/>
      <c r="J26" s="9"/>
      <c r="K26" s="9"/>
      <c r="L26" s="163"/>
      <c r="M26" s="296"/>
      <c r="N26" s="71"/>
      <c r="O26" s="71"/>
      <c r="P26" s="71"/>
      <c r="Q26" s="72"/>
      <c r="R26" s="22"/>
      <c r="S26" s="185"/>
    </row>
    <row r="27" spans="1:23" s="67" customFormat="1" ht="15" customHeight="1">
      <c r="A27" s="63"/>
      <c r="B27" s="293"/>
      <c r="C27" s="811"/>
      <c r="D27" s="755">
        <v>3</v>
      </c>
      <c r="E27" s="45" t="s">
        <v>29</v>
      </c>
      <c r="F27" s="78" t="s">
        <v>18</v>
      </c>
      <c r="G27" s="389" t="s">
        <v>19</v>
      </c>
      <c r="H27" s="364" t="s">
        <v>20</v>
      </c>
      <c r="I27" s="381" t="s">
        <v>9</v>
      </c>
      <c r="J27" s="81" t="s">
        <v>10</v>
      </c>
      <c r="K27" s="81" t="s">
        <v>11</v>
      </c>
      <c r="L27" s="165"/>
      <c r="M27" s="296"/>
      <c r="N27" s="83" t="s">
        <v>12</v>
      </c>
      <c r="O27" s="83" t="s">
        <v>13</v>
      </c>
      <c r="P27" s="83" t="s">
        <v>14</v>
      </c>
      <c r="Q27" s="378" t="s">
        <v>9</v>
      </c>
      <c r="R27" s="82"/>
      <c r="S27" s="186"/>
      <c r="W27" s="1"/>
    </row>
    <row r="28" spans="1:23" ht="15" customHeight="1">
      <c r="B28" s="294"/>
      <c r="C28" s="814">
        <v>1</v>
      </c>
      <c r="D28" s="721" t="s">
        <v>399</v>
      </c>
      <c r="E28" s="134" t="s">
        <v>375</v>
      </c>
      <c r="F28" s="584" t="s">
        <v>30</v>
      </c>
      <c r="G28" s="585">
        <v>4500000</v>
      </c>
      <c r="H28" s="581">
        <v>6</v>
      </c>
      <c r="I28" s="580">
        <f>G28*H28</f>
        <v>27000000</v>
      </c>
      <c r="J28" s="86"/>
      <c r="K28" s="580">
        <f>I28</f>
        <v>27000000</v>
      </c>
      <c r="L28" s="215"/>
      <c r="M28" s="296"/>
      <c r="N28" s="580">
        <f>I28*30%</f>
        <v>8100000</v>
      </c>
      <c r="O28" s="580">
        <f>I28*40%</f>
        <v>10800000</v>
      </c>
      <c r="P28" s="580">
        <f>I28*30%</f>
        <v>8100000</v>
      </c>
      <c r="Q28" s="216"/>
      <c r="R28" s="586"/>
    </row>
    <row r="29" spans="1:23" s="5" customFormat="1" ht="15" customHeight="1">
      <c r="B29" s="294"/>
      <c r="C29" s="817">
        <v>1</v>
      </c>
      <c r="D29" s="719" t="s">
        <v>400</v>
      </c>
      <c r="E29" s="88" t="s">
        <v>757</v>
      </c>
      <c r="F29" s="89" t="s">
        <v>21</v>
      </c>
      <c r="G29" s="578">
        <v>138650740</v>
      </c>
      <c r="H29" s="581">
        <v>1</v>
      </c>
      <c r="I29" s="86">
        <f>G29*H29</f>
        <v>138650740</v>
      </c>
      <c r="J29" s="86">
        <f>I29*21%</f>
        <v>29116655.399999999</v>
      </c>
      <c r="K29" s="86">
        <f>I29+J29</f>
        <v>167767395.40000001</v>
      </c>
      <c r="L29" s="163"/>
      <c r="M29" s="296"/>
      <c r="N29" s="86">
        <f>I29*30%</f>
        <v>41595222</v>
      </c>
      <c r="O29" s="86">
        <f>I29*40%</f>
        <v>55460296</v>
      </c>
      <c r="P29" s="86">
        <f>I29*30%</f>
        <v>41595222</v>
      </c>
      <c r="Q29" s="87"/>
      <c r="R29" s="55"/>
      <c r="S29" s="185"/>
    </row>
    <row r="30" spans="1:23" ht="15" customHeight="1">
      <c r="B30" s="294"/>
      <c r="C30" s="818"/>
      <c r="D30" s="719" t="s">
        <v>401</v>
      </c>
      <c r="E30" s="976" t="s">
        <v>376</v>
      </c>
      <c r="F30" s="977" t="s">
        <v>21</v>
      </c>
      <c r="G30" s="978"/>
      <c r="H30" s="979"/>
      <c r="I30" s="978"/>
      <c r="J30" s="86"/>
      <c r="K30" s="585"/>
      <c r="L30" s="215"/>
      <c r="M30" s="296"/>
      <c r="N30" s="580"/>
      <c r="O30" s="580"/>
      <c r="P30" s="580"/>
      <c r="Q30" s="216"/>
      <c r="R30" s="586"/>
    </row>
    <row r="31" spans="1:23" ht="15" customHeight="1">
      <c r="B31" s="294"/>
      <c r="C31" s="819"/>
      <c r="D31" s="721" t="s">
        <v>402</v>
      </c>
      <c r="E31" s="88" t="s">
        <v>441</v>
      </c>
      <c r="F31" s="587" t="s">
        <v>30</v>
      </c>
      <c r="G31" s="588">
        <v>1500000</v>
      </c>
      <c r="H31" s="589">
        <v>8</v>
      </c>
      <c r="I31" s="588">
        <f>G31*H31</f>
        <v>12000000</v>
      </c>
      <c r="J31" s="590"/>
      <c r="K31" s="588">
        <f>I31</f>
        <v>12000000</v>
      </c>
      <c r="L31" s="215"/>
      <c r="M31" s="296"/>
      <c r="N31" s="580">
        <f>I31*30%</f>
        <v>3600000</v>
      </c>
      <c r="O31" s="580">
        <f>I31*40%</f>
        <v>4800000</v>
      </c>
      <c r="P31" s="580">
        <f>I31*30%</f>
        <v>3600000</v>
      </c>
      <c r="Q31" s="216"/>
      <c r="R31" s="586"/>
    </row>
    <row r="32" spans="1:23" s="67" customFormat="1" ht="15" customHeight="1">
      <c r="A32" s="63"/>
      <c r="B32" s="295"/>
      <c r="C32" s="816">
        <f>SUM(C28:C30)</f>
        <v>2</v>
      </c>
      <c r="D32" s="721"/>
      <c r="E32" s="98"/>
      <c r="F32" s="92"/>
      <c r="G32" s="1051" t="s">
        <v>31</v>
      </c>
      <c r="H32" s="1051" t="s">
        <v>15</v>
      </c>
      <c r="I32" s="383">
        <f>SUM(I28:I31)</f>
        <v>177650740</v>
      </c>
      <c r="J32" s="265">
        <f>SUM(J28:J31)</f>
        <v>29116655.399999999</v>
      </c>
      <c r="K32" s="265">
        <f>SUM(K28:K31)</f>
        <v>206767395.40000001</v>
      </c>
      <c r="L32" s="165"/>
      <c r="M32" s="296"/>
      <c r="N32" s="265">
        <f>SUM(N28:N31)</f>
        <v>53295222</v>
      </c>
      <c r="O32" s="265">
        <f>SUM(O28:O31)</f>
        <v>71060296</v>
      </c>
      <c r="P32" s="265">
        <f>SUM(P28:P31)</f>
        <v>53295222</v>
      </c>
      <c r="Q32" s="379">
        <f>SUM(N32:P32)</f>
        <v>177650740</v>
      </c>
      <c r="R32" s="66"/>
      <c r="S32" s="186"/>
      <c r="W32" s="1"/>
    </row>
    <row r="33" spans="1:23" ht="30" customHeight="1">
      <c r="B33" s="294"/>
      <c r="C33" s="812"/>
      <c r="D33" s="719"/>
      <c r="E33" s="98"/>
      <c r="F33" s="92"/>
      <c r="G33" s="70"/>
      <c r="H33" s="7"/>
      <c r="I33" s="174"/>
      <c r="J33" s="175"/>
      <c r="K33" s="176"/>
      <c r="L33" s="177"/>
      <c r="M33" s="296"/>
      <c r="N33" s="135"/>
      <c r="O33" s="135"/>
      <c r="P33" s="135"/>
      <c r="Q33" s="178"/>
      <c r="R33" s="179"/>
    </row>
    <row r="34" spans="1:23" s="67" customFormat="1" ht="15" customHeight="1">
      <c r="A34" s="63"/>
      <c r="B34" s="293"/>
      <c r="C34" s="811"/>
      <c r="D34" s="755">
        <v>4</v>
      </c>
      <c r="E34" s="45" t="s">
        <v>292</v>
      </c>
      <c r="F34" s="78" t="s">
        <v>18</v>
      </c>
      <c r="G34" s="389" t="s">
        <v>19</v>
      </c>
      <c r="H34" s="80" t="s">
        <v>20</v>
      </c>
      <c r="I34" s="381" t="s">
        <v>9</v>
      </c>
      <c r="J34" s="81" t="s">
        <v>10</v>
      </c>
      <c r="K34" s="81" t="s">
        <v>11</v>
      </c>
      <c r="L34" s="165"/>
      <c r="M34" s="296"/>
      <c r="N34" s="83" t="s">
        <v>12</v>
      </c>
      <c r="O34" s="561" t="s">
        <v>13</v>
      </c>
      <c r="P34" s="83" t="s">
        <v>14</v>
      </c>
      <c r="Q34" s="378" t="s">
        <v>9</v>
      </c>
      <c r="R34" s="82"/>
      <c r="S34" s="186"/>
      <c r="W34" s="1"/>
    </row>
    <row r="35" spans="1:23" s="5" customFormat="1" ht="25.5">
      <c r="B35" s="290"/>
      <c r="C35" s="814"/>
      <c r="D35" s="719"/>
      <c r="E35" s="399" t="s">
        <v>514</v>
      </c>
      <c r="F35" s="8"/>
      <c r="G35" s="591"/>
      <c r="H35" s="592"/>
      <c r="I35" s="593"/>
      <c r="J35" s="556"/>
      <c r="K35" s="557"/>
      <c r="L35" s="163"/>
      <c r="M35" s="296"/>
      <c r="N35" s="594"/>
      <c r="O35" s="595"/>
      <c r="P35" s="104"/>
      <c r="Q35" s="105"/>
      <c r="R35" s="22"/>
      <c r="S35" s="185"/>
    </row>
    <row r="36" spans="1:23" s="5" customFormat="1" ht="15" customHeight="1">
      <c r="B36" s="297"/>
      <c r="C36" s="817">
        <f>'Equ. Tec. x SICA'!C564</f>
        <v>51</v>
      </c>
      <c r="D36" s="719" t="s">
        <v>403</v>
      </c>
      <c r="E36" s="182" t="s">
        <v>377</v>
      </c>
      <c r="F36" s="596"/>
      <c r="G36" s="597"/>
      <c r="H36" s="597"/>
      <c r="I36" s="598"/>
      <c r="J36" s="597"/>
      <c r="K36" s="599"/>
      <c r="L36" s="163"/>
      <c r="M36" s="296"/>
      <c r="N36" s="594"/>
      <c r="O36" s="600"/>
      <c r="P36" s="104"/>
      <c r="Q36" s="105"/>
      <c r="R36" s="22"/>
      <c r="S36" s="185"/>
    </row>
    <row r="37" spans="1:23" s="5" customFormat="1">
      <c r="B37" s="297"/>
      <c r="C37" s="818"/>
      <c r="D37" s="719"/>
      <c r="E37" s="730" t="s">
        <v>515</v>
      </c>
      <c r="F37" s="522"/>
      <c r="G37" s="601"/>
      <c r="H37" s="602"/>
      <c r="I37" s="543">
        <f>'Equ. Tec. x SICA'!H564</f>
        <v>407498297.48448205</v>
      </c>
      <c r="J37" s="603"/>
      <c r="K37" s="604"/>
      <c r="L37" s="163"/>
      <c r="M37" s="296"/>
      <c r="N37" s="114">
        <f>'Equ. Tec. x SICA'!N564</f>
        <v>99570340.200000003</v>
      </c>
      <c r="O37" s="605">
        <f>'Equ. Tec. x SICA'!O564</f>
        <v>214341076.0914546</v>
      </c>
      <c r="P37" s="112">
        <f>'Equ. Tec. x SICA'!P564</f>
        <v>93586881.193027571</v>
      </c>
      <c r="Q37" s="87"/>
      <c r="R37" s="55"/>
      <c r="S37" s="185"/>
    </row>
    <row r="38" spans="1:23" s="5" customFormat="1">
      <c r="B38" s="294"/>
      <c r="C38" s="820"/>
      <c r="D38" s="719" t="s">
        <v>404</v>
      </c>
      <c r="E38" s="538" t="s">
        <v>406</v>
      </c>
      <c r="F38" s="542"/>
      <c r="G38" s="601"/>
      <c r="H38" s="606"/>
      <c r="I38" s="607"/>
      <c r="J38" s="608"/>
      <c r="K38" s="609"/>
      <c r="L38" s="163"/>
      <c r="M38" s="296"/>
      <c r="N38" s="610"/>
      <c r="O38" s="611"/>
      <c r="P38" s="612"/>
      <c r="Q38" s="103"/>
      <c r="R38" s="55"/>
      <c r="S38" s="185"/>
    </row>
    <row r="39" spans="1:23" s="5" customFormat="1">
      <c r="B39" s="294"/>
      <c r="C39" s="820"/>
      <c r="D39" s="719"/>
      <c r="E39" s="539"/>
      <c r="F39" s="373"/>
      <c r="G39" s="613"/>
      <c r="H39" s="614"/>
      <c r="I39" s="615"/>
      <c r="J39" s="604">
        <v>0</v>
      </c>
      <c r="K39" s="616">
        <f>J39</f>
        <v>0</v>
      </c>
      <c r="L39" s="163"/>
      <c r="M39" s="296"/>
      <c r="N39" s="610"/>
      <c r="O39" s="611"/>
      <c r="P39" s="612"/>
      <c r="Q39" s="103"/>
      <c r="R39" s="55"/>
      <c r="S39" s="185"/>
    </row>
    <row r="40" spans="1:23" s="5" customFormat="1">
      <c r="B40" s="294"/>
      <c r="C40" s="820"/>
      <c r="D40" s="719" t="s">
        <v>405</v>
      </c>
      <c r="E40" s="843" t="s">
        <v>378</v>
      </c>
      <c r="F40" s="844"/>
      <c r="G40" s="845"/>
      <c r="H40" s="846"/>
      <c r="I40" s="847"/>
      <c r="J40" s="608"/>
      <c r="K40" s="609"/>
      <c r="L40" s="163"/>
      <c r="M40" s="296"/>
      <c r="N40" s="610"/>
      <c r="O40" s="611"/>
      <c r="P40" s="612"/>
      <c r="Q40" s="103"/>
      <c r="R40" s="55"/>
      <c r="S40" s="185"/>
    </row>
    <row r="41" spans="1:23" s="5" customFormat="1">
      <c r="B41" s="294"/>
      <c r="C41" s="820"/>
      <c r="D41" s="719"/>
      <c r="E41" s="848"/>
      <c r="F41" s="849"/>
      <c r="G41" s="850"/>
      <c r="H41" s="851"/>
      <c r="I41" s="852"/>
      <c r="J41" s="604">
        <v>0</v>
      </c>
      <c r="K41" s="616">
        <f>J41</f>
        <v>0</v>
      </c>
      <c r="L41" s="163"/>
      <c r="M41" s="296"/>
      <c r="N41" s="610"/>
      <c r="O41" s="611"/>
      <c r="P41" s="612"/>
      <c r="Q41" s="103"/>
      <c r="R41" s="55"/>
      <c r="S41" s="185"/>
    </row>
    <row r="42" spans="1:23" s="5" customFormat="1">
      <c r="B42" s="294"/>
      <c r="C42" s="820"/>
      <c r="D42" s="719" t="s">
        <v>407</v>
      </c>
      <c r="E42" s="538" t="s">
        <v>164</v>
      </c>
      <c r="F42" s="542"/>
      <c r="G42" s="601"/>
      <c r="H42" s="606"/>
      <c r="I42" s="607"/>
      <c r="J42" s="608"/>
      <c r="K42" s="609"/>
      <c r="L42" s="163"/>
      <c r="M42" s="296"/>
      <c r="N42" s="610"/>
      <c r="O42" s="611"/>
      <c r="P42" s="612"/>
      <c r="Q42" s="103"/>
      <c r="R42" s="55"/>
      <c r="S42" s="185"/>
    </row>
    <row r="43" spans="1:23" s="5" customFormat="1">
      <c r="B43" s="294"/>
      <c r="C43" s="821"/>
      <c r="D43" s="719"/>
      <c r="E43" s="539"/>
      <c r="F43" s="373"/>
      <c r="G43" s="613"/>
      <c r="H43" s="614"/>
      <c r="I43" s="615"/>
      <c r="J43" s="604">
        <v>0</v>
      </c>
      <c r="K43" s="616">
        <f>J43</f>
        <v>0</v>
      </c>
      <c r="L43" s="163"/>
      <c r="M43" s="296"/>
      <c r="N43" s="610"/>
      <c r="O43" s="611"/>
      <c r="P43" s="612"/>
      <c r="Q43" s="103"/>
      <c r="R43" s="55"/>
      <c r="S43" s="185"/>
    </row>
    <row r="44" spans="1:23" s="67" customFormat="1" ht="15" customHeight="1">
      <c r="A44" s="63"/>
      <c r="B44" s="295"/>
      <c r="C44" s="822">
        <f>SUM(C36:C43)</f>
        <v>51</v>
      </c>
      <c r="D44" s="721"/>
      <c r="E44" s="98"/>
      <c r="F44" s="92"/>
      <c r="G44" s="1051" t="s">
        <v>80</v>
      </c>
      <c r="H44" s="1051"/>
      <c r="I44" s="516">
        <f>I37+I41+I43</f>
        <v>407498297.48448205</v>
      </c>
      <c r="J44" s="517">
        <f>SUM(J36:J43)</f>
        <v>0</v>
      </c>
      <c r="K44" s="518">
        <f>I44</f>
        <v>407498297.48448205</v>
      </c>
      <c r="L44" s="165"/>
      <c r="M44" s="296"/>
      <c r="N44" s="94">
        <f>SUM(N35:N43)</f>
        <v>99570340.200000003</v>
      </c>
      <c r="O44" s="562">
        <f>SUM(O35:O43)</f>
        <v>214341076.0914546</v>
      </c>
      <c r="P44" s="96">
        <f>SUM(P35:P43)</f>
        <v>93586881.193027571</v>
      </c>
      <c r="Q44" s="379">
        <f>SUM(N44:P44)</f>
        <v>407498297.48448217</v>
      </c>
      <c r="R44" s="66"/>
      <c r="S44" s="186"/>
      <c r="T44" s="159"/>
      <c r="W44" s="1"/>
    </row>
    <row r="45" spans="1:23" ht="30.4" customHeight="1">
      <c r="B45" s="294"/>
      <c r="C45" s="812"/>
      <c r="D45" s="719"/>
      <c r="E45" s="98"/>
      <c r="F45" s="92"/>
      <c r="G45" s="70"/>
      <c r="H45" s="7"/>
      <c r="I45" s="70"/>
      <c r="J45" s="7"/>
      <c r="K45" s="176"/>
      <c r="L45" s="177"/>
      <c r="M45" s="296"/>
      <c r="N45" s="135"/>
      <c r="O45" s="135"/>
      <c r="P45" s="135"/>
      <c r="Q45" s="178"/>
      <c r="R45" s="179"/>
    </row>
    <row r="46" spans="1:23" s="67" customFormat="1" ht="15" customHeight="1">
      <c r="A46" s="63"/>
      <c r="B46" s="293"/>
      <c r="C46" s="811"/>
      <c r="D46" s="755">
        <v>5</v>
      </c>
      <c r="E46" s="45" t="s">
        <v>293</v>
      </c>
      <c r="F46" s="269" t="s">
        <v>18</v>
      </c>
      <c r="G46" s="390" t="s">
        <v>19</v>
      </c>
      <c r="H46" s="525" t="s">
        <v>20</v>
      </c>
      <c r="I46" s="382" t="s">
        <v>9</v>
      </c>
      <c r="J46" s="81" t="s">
        <v>10</v>
      </c>
      <c r="K46" s="81" t="s">
        <v>11</v>
      </c>
      <c r="L46" s="165"/>
      <c r="M46" s="296"/>
      <c r="N46" s="83" t="s">
        <v>12</v>
      </c>
      <c r="O46" s="83" t="s">
        <v>13</v>
      </c>
      <c r="P46" s="83" t="s">
        <v>14</v>
      </c>
      <c r="Q46" s="378" t="s">
        <v>9</v>
      </c>
      <c r="R46" s="82"/>
      <c r="S46" s="186"/>
      <c r="W46" s="1"/>
    </row>
    <row r="47" spans="1:23" s="67" customFormat="1" ht="15" customHeight="1">
      <c r="B47" s="294"/>
      <c r="C47" s="823"/>
      <c r="D47" s="721"/>
      <c r="E47" s="451" t="s">
        <v>310</v>
      </c>
      <c r="F47" s="350"/>
      <c r="G47" s="617"/>
      <c r="H47" s="272"/>
      <c r="I47" s="526"/>
      <c r="J47" s="524"/>
      <c r="K47" s="125"/>
      <c r="L47" s="354"/>
      <c r="M47" s="296"/>
      <c r="N47" s="151"/>
      <c r="O47" s="152"/>
      <c r="P47" s="148"/>
      <c r="Q47" s="360"/>
      <c r="R47" s="361"/>
      <c r="S47" s="362"/>
      <c r="W47" s="1"/>
    </row>
    <row r="48" spans="1:23" s="121" customFormat="1" ht="15" customHeight="1">
      <c r="B48" s="294"/>
      <c r="C48" s="824">
        <v>3</v>
      </c>
      <c r="D48" s="719" t="s">
        <v>408</v>
      </c>
      <c r="E48" s="122" t="s">
        <v>81</v>
      </c>
      <c r="F48" s="527"/>
      <c r="G48" s="580"/>
      <c r="I48" s="528"/>
      <c r="J48" s="521"/>
      <c r="K48" s="363"/>
      <c r="L48" s="163"/>
      <c r="M48" s="296"/>
      <c r="N48" s="151"/>
      <c r="O48" s="152"/>
      <c r="P48" s="148"/>
      <c r="Q48" s="130"/>
      <c r="R48" s="126"/>
      <c r="S48" s="188"/>
    </row>
    <row r="49" spans="2:19" s="5" customFormat="1">
      <c r="B49" s="294"/>
      <c r="C49" s="817"/>
      <c r="D49" s="719"/>
      <c r="E49" s="119" t="s">
        <v>290</v>
      </c>
      <c r="F49" s="477" t="s">
        <v>21</v>
      </c>
      <c r="G49" s="580">
        <v>25000000</v>
      </c>
      <c r="H49" s="113">
        <v>1</v>
      </c>
      <c r="I49" s="618"/>
      <c r="J49" s="71"/>
      <c r="K49" s="104"/>
      <c r="L49" s="163"/>
      <c r="M49" s="296"/>
      <c r="N49" s="594"/>
      <c r="O49" s="100"/>
      <c r="P49" s="619"/>
      <c r="Q49" s="103"/>
      <c r="R49" s="55"/>
      <c r="S49" s="185"/>
    </row>
    <row r="50" spans="2:19" s="5" customFormat="1">
      <c r="B50" s="294"/>
      <c r="C50" s="817"/>
      <c r="D50" s="719"/>
      <c r="E50" s="119" t="s">
        <v>329</v>
      </c>
      <c r="F50" s="477" t="s">
        <v>21</v>
      </c>
      <c r="G50" s="580">
        <f>'AAA a Marzo26'!D6*H50</f>
        <v>11058068.16</v>
      </c>
      <c r="H50" s="113">
        <v>2</v>
      </c>
      <c r="I50" s="618"/>
      <c r="J50" s="71"/>
      <c r="K50" s="104"/>
      <c r="L50" s="163"/>
      <c r="M50" s="296"/>
      <c r="N50" s="594"/>
      <c r="O50" s="100"/>
      <c r="P50" s="619"/>
      <c r="Q50" s="103"/>
      <c r="R50" s="55"/>
      <c r="S50" s="185"/>
    </row>
    <row r="51" spans="2:19" s="5" customFormat="1">
      <c r="B51" s="294"/>
      <c r="C51" s="818"/>
      <c r="D51" s="719"/>
      <c r="E51" s="119" t="s">
        <v>82</v>
      </c>
      <c r="F51" s="477" t="s">
        <v>21</v>
      </c>
      <c r="G51" s="580">
        <v>8</v>
      </c>
      <c r="H51" s="90" t="s">
        <v>37</v>
      </c>
      <c r="I51" s="618">
        <f>SUM(G50:G50)*H50+G49</f>
        <v>47116136.32</v>
      </c>
      <c r="J51" s="71"/>
      <c r="K51" s="104"/>
      <c r="L51" s="163"/>
      <c r="M51" s="296"/>
      <c r="N51" s="594"/>
      <c r="O51" s="100"/>
      <c r="P51" s="619"/>
      <c r="Q51" s="87"/>
      <c r="R51" s="55"/>
      <c r="S51" s="185"/>
    </row>
    <row r="52" spans="2:19" s="5" customFormat="1">
      <c r="B52" s="294"/>
      <c r="C52" s="817"/>
      <c r="D52" s="719"/>
      <c r="E52" s="131" t="s">
        <v>38</v>
      </c>
      <c r="F52" s="477" t="s">
        <v>21</v>
      </c>
      <c r="G52" s="620">
        <f>I51</f>
        <v>47116136.32</v>
      </c>
      <c r="H52" s="116">
        <v>8.3299999999999999E-2</v>
      </c>
      <c r="I52" s="618">
        <f>+H52*G52</f>
        <v>3924774.155456</v>
      </c>
      <c r="J52" s="71"/>
      <c r="K52" s="104"/>
      <c r="L52" s="163"/>
      <c r="M52" s="296"/>
      <c r="N52" s="621"/>
      <c r="O52" s="622"/>
      <c r="P52" s="623"/>
      <c r="Q52" s="103"/>
      <c r="R52" s="55"/>
      <c r="S52" s="185"/>
    </row>
    <row r="53" spans="2:19" s="5" customFormat="1">
      <c r="B53" s="294"/>
      <c r="C53" s="817"/>
      <c r="D53" s="719"/>
      <c r="E53" s="624" t="s">
        <v>538</v>
      </c>
      <c r="F53" s="478">
        <f>G52/(5*G51)</f>
        <v>1177903.4080000001</v>
      </c>
      <c r="G53" s="620">
        <f>F53*(G51*7)</f>
        <v>65962590.848000005</v>
      </c>
      <c r="H53" s="118">
        <v>20</v>
      </c>
      <c r="I53" s="618">
        <f>G53/H53</f>
        <v>3298129.5424000002</v>
      </c>
      <c r="J53" s="117">
        <v>0</v>
      </c>
      <c r="K53" s="97">
        <f>SUM(I51:I53)</f>
        <v>54339040.017856002</v>
      </c>
      <c r="L53" s="163"/>
      <c r="M53" s="296"/>
      <c r="N53" s="86">
        <f>K53*33%</f>
        <v>17931883.205892481</v>
      </c>
      <c r="O53" s="86">
        <f>K53-N53</f>
        <v>36407156.811963521</v>
      </c>
      <c r="P53" s="86">
        <f>K53-N53-O53</f>
        <v>0</v>
      </c>
      <c r="Q53" s="103"/>
      <c r="R53" s="55"/>
      <c r="S53" s="185"/>
    </row>
    <row r="54" spans="2:19" s="121" customFormat="1" ht="15" customHeight="1">
      <c r="B54" s="294"/>
      <c r="C54" s="824">
        <v>2</v>
      </c>
      <c r="D54" s="719" t="s">
        <v>409</v>
      </c>
      <c r="E54" s="122" t="s">
        <v>83</v>
      </c>
      <c r="F54" s="529"/>
      <c r="G54" s="625"/>
      <c r="H54" s="123"/>
      <c r="I54" s="530"/>
      <c r="J54" s="524"/>
      <c r="K54" s="125"/>
      <c r="L54" s="163"/>
      <c r="M54" s="296"/>
      <c r="N54" s="127"/>
      <c r="O54" s="128"/>
      <c r="P54" s="129"/>
      <c r="Q54" s="130"/>
      <c r="R54" s="126"/>
      <c r="S54" s="188"/>
    </row>
    <row r="55" spans="2:19" s="5" customFormat="1">
      <c r="B55" s="294"/>
      <c r="C55" s="817"/>
      <c r="D55" s="719"/>
      <c r="E55" s="119" t="s">
        <v>304</v>
      </c>
      <c r="F55" s="477" t="s">
        <v>21</v>
      </c>
      <c r="G55" s="580">
        <f>'AAA a Marzo26'!D7*2</f>
        <v>8687301.8399999999</v>
      </c>
      <c r="H55" s="113">
        <v>2</v>
      </c>
      <c r="I55" s="618"/>
      <c r="J55" s="71"/>
      <c r="K55" s="104"/>
      <c r="L55" s="163"/>
      <c r="M55" s="296"/>
      <c r="N55" s="594"/>
      <c r="O55" s="100"/>
      <c r="P55" s="619"/>
      <c r="Q55" s="103"/>
      <c r="R55" s="55"/>
      <c r="S55" s="185"/>
    </row>
    <row r="56" spans="2:19" s="5" customFormat="1">
      <c r="B56" s="294"/>
      <c r="C56" s="818"/>
      <c r="D56" s="719"/>
      <c r="E56" s="119" t="s">
        <v>82</v>
      </c>
      <c r="F56" s="477" t="s">
        <v>21</v>
      </c>
      <c r="G56" s="580">
        <v>8</v>
      </c>
      <c r="H56" s="90" t="s">
        <v>37</v>
      </c>
      <c r="I56" s="618">
        <f>SUM(G55:G55)*H55</f>
        <v>17374603.68</v>
      </c>
      <c r="J56" s="71"/>
      <c r="K56" s="104"/>
      <c r="L56" s="163"/>
      <c r="M56" s="296"/>
      <c r="N56" s="594"/>
      <c r="O56" s="100"/>
      <c r="P56" s="619"/>
      <c r="Q56" s="87"/>
      <c r="R56" s="55"/>
      <c r="S56" s="185"/>
    </row>
    <row r="57" spans="2:19" s="5" customFormat="1">
      <c r="B57" s="294"/>
      <c r="C57" s="817"/>
      <c r="D57" s="719"/>
      <c r="E57" s="131" t="s">
        <v>38</v>
      </c>
      <c r="F57" s="477" t="s">
        <v>21</v>
      </c>
      <c r="G57" s="620">
        <f>I56</f>
        <v>17374603.68</v>
      </c>
      <c r="H57" s="116">
        <f>H52</f>
        <v>8.3299999999999999E-2</v>
      </c>
      <c r="I57" s="618">
        <f>+H57*G57</f>
        <v>1447304.486544</v>
      </c>
      <c r="J57" s="71"/>
      <c r="K57" s="104"/>
      <c r="L57" s="163"/>
      <c r="M57" s="296"/>
      <c r="N57" s="621"/>
      <c r="O57" s="622"/>
      <c r="P57" s="623"/>
      <c r="Q57" s="103"/>
      <c r="R57" s="55"/>
      <c r="S57" s="185"/>
    </row>
    <row r="58" spans="2:19" s="5" customFormat="1">
      <c r="B58" s="294"/>
      <c r="C58" s="825"/>
      <c r="D58" s="719"/>
      <c r="E58" s="624" t="s">
        <v>538</v>
      </c>
      <c r="F58" s="478">
        <f>G57/(5*G56)</f>
        <v>434365.092</v>
      </c>
      <c r="G58" s="620">
        <f>F58*(G56*7)</f>
        <v>24324445.151999999</v>
      </c>
      <c r="H58" s="118">
        <v>20</v>
      </c>
      <c r="I58" s="618">
        <f>G58/H58</f>
        <v>1216222.2575999999</v>
      </c>
      <c r="J58" s="117">
        <v>0</v>
      </c>
      <c r="K58" s="97">
        <f>SUM(I56:I58)</f>
        <v>20038130.424143996</v>
      </c>
      <c r="L58" s="163"/>
      <c r="M58" s="296"/>
      <c r="N58" s="86">
        <f>K58*33%</f>
        <v>6612583.0399675192</v>
      </c>
      <c r="O58" s="86">
        <f>K58-N58</f>
        <v>13425547.384176478</v>
      </c>
      <c r="P58" s="86">
        <f>K58-N58-O58</f>
        <v>0</v>
      </c>
      <c r="Q58" s="103"/>
      <c r="R58" s="55"/>
      <c r="S58" s="185"/>
    </row>
    <row r="59" spans="2:19" s="121" customFormat="1" ht="15" customHeight="1">
      <c r="B59" s="294"/>
      <c r="C59" s="817">
        <v>30</v>
      </c>
      <c r="D59" s="719" t="s">
        <v>410</v>
      </c>
      <c r="E59" s="122" t="s">
        <v>228</v>
      </c>
      <c r="F59" s="527"/>
      <c r="G59" s="625"/>
      <c r="H59" s="123"/>
      <c r="I59" s="531"/>
      <c r="J59" s="524"/>
      <c r="K59" s="125"/>
      <c r="L59" s="163"/>
      <c r="M59" s="296"/>
      <c r="N59" s="127"/>
      <c r="O59" s="128"/>
      <c r="P59" s="129"/>
      <c r="Q59" s="130"/>
      <c r="R59" s="126"/>
      <c r="S59" s="188"/>
    </row>
    <row r="60" spans="2:19" s="5" customFormat="1">
      <c r="B60" s="294"/>
      <c r="C60" s="817"/>
      <c r="D60" s="719"/>
      <c r="E60" s="119" t="s">
        <v>303</v>
      </c>
      <c r="F60" s="373">
        <v>5</v>
      </c>
      <c r="G60" s="615">
        <f>'AAA a Marzo26'!D11</f>
        <v>409178.52</v>
      </c>
      <c r="H60" s="616">
        <f>G60*F60</f>
        <v>2045892.6</v>
      </c>
      <c r="I60" s="626"/>
      <c r="J60" s="71"/>
      <c r="K60" s="104"/>
      <c r="L60" s="163"/>
      <c r="M60" s="296"/>
      <c r="N60" s="594"/>
      <c r="O60" s="100"/>
      <c r="P60" s="619"/>
      <c r="Q60" s="103"/>
      <c r="R60" s="55"/>
      <c r="S60" s="185"/>
    </row>
    <row r="61" spans="2:19" s="5" customFormat="1">
      <c r="B61" s="294"/>
      <c r="C61" s="817"/>
      <c r="D61" s="719"/>
      <c r="E61" s="119" t="s">
        <v>265</v>
      </c>
      <c r="F61" s="532" t="s">
        <v>65</v>
      </c>
      <c r="G61" s="627">
        <f>'AAA a Marzo26'!D11</f>
        <v>409178.52</v>
      </c>
      <c r="H61" s="628">
        <f>G61*20</f>
        <v>8183570.4000000004</v>
      </c>
      <c r="I61" s="618"/>
      <c r="J61" s="71"/>
      <c r="K61" s="104"/>
      <c r="L61" s="163"/>
      <c r="M61" s="296"/>
      <c r="N61" s="594"/>
      <c r="O61" s="100"/>
      <c r="P61" s="619"/>
      <c r="Q61" s="103"/>
      <c r="R61" s="55"/>
      <c r="S61" s="185"/>
    </row>
    <row r="62" spans="2:19" s="5" customFormat="1">
      <c r="B62" s="294"/>
      <c r="C62" s="817"/>
      <c r="D62" s="719"/>
      <c r="E62" s="119" t="s">
        <v>266</v>
      </c>
      <c r="F62" s="477" t="s">
        <v>65</v>
      </c>
      <c r="G62" s="580">
        <f>'AAA a Marzo26'!D12</f>
        <v>338103.72</v>
      </c>
      <c r="H62" s="86">
        <f>G62*10</f>
        <v>3381037.1999999997</v>
      </c>
      <c r="I62" s="618"/>
      <c r="J62" s="71"/>
      <c r="K62" s="104"/>
      <c r="L62" s="163"/>
      <c r="M62" s="296"/>
      <c r="N62" s="594"/>
      <c r="O62" s="100"/>
      <c r="P62" s="619"/>
      <c r="Q62" s="103"/>
      <c r="R62" s="55"/>
      <c r="S62" s="185"/>
    </row>
    <row r="63" spans="2:19" s="5" customFormat="1">
      <c r="B63" s="294"/>
      <c r="C63" s="818"/>
      <c r="D63" s="719"/>
      <c r="E63" s="629"/>
      <c r="F63" s="630"/>
      <c r="G63" s="1"/>
      <c r="H63" s="631" t="s">
        <v>442</v>
      </c>
      <c r="I63" s="618">
        <f>SUM(H60:H62)</f>
        <v>13610500.199999999</v>
      </c>
      <c r="J63" s="71"/>
      <c r="K63" s="104"/>
      <c r="L63" s="163"/>
      <c r="M63" s="296"/>
      <c r="N63" s="594"/>
      <c r="O63" s="100"/>
      <c r="P63" s="619"/>
      <c r="Q63" s="103"/>
      <c r="R63" s="55"/>
      <c r="S63" s="185"/>
    </row>
    <row r="64" spans="2:19" s="5" customFormat="1">
      <c r="B64" s="294"/>
      <c r="C64" s="818"/>
      <c r="D64" s="719"/>
      <c r="E64" s="119" t="s">
        <v>84</v>
      </c>
      <c r="F64" s="533">
        <v>0.15</v>
      </c>
      <c r="G64" s="580">
        <f>I63</f>
        <v>13610500.199999999</v>
      </c>
      <c r="H64" s="113">
        <v>1</v>
      </c>
      <c r="I64" s="618">
        <f>+H64*G64*F64</f>
        <v>2041575.0299999998</v>
      </c>
      <c r="J64" s="71"/>
      <c r="K64" s="104"/>
      <c r="L64" s="163"/>
      <c r="M64" s="296"/>
      <c r="N64" s="594"/>
      <c r="O64" s="100"/>
      <c r="P64" s="619"/>
      <c r="Q64" s="103"/>
      <c r="R64" s="55"/>
      <c r="S64" s="185"/>
    </row>
    <row r="65" spans="2:19" s="5" customFormat="1">
      <c r="B65" s="294"/>
      <c r="C65" s="818"/>
      <c r="D65" s="719"/>
      <c r="E65" s="119" t="s">
        <v>85</v>
      </c>
      <c r="F65" s="534">
        <v>0.1</v>
      </c>
      <c r="G65" s="585">
        <f>I63</f>
        <v>13610500.199999999</v>
      </c>
      <c r="H65" s="632">
        <v>1</v>
      </c>
      <c r="I65" s="633">
        <f>+H65*G65*F65</f>
        <v>1361050.02</v>
      </c>
      <c r="J65" s="71"/>
      <c r="K65" s="104"/>
      <c r="L65" s="163"/>
      <c r="M65" s="296"/>
      <c r="N65" s="621"/>
      <c r="O65" s="622"/>
      <c r="P65" s="623"/>
      <c r="Q65" s="103"/>
      <c r="R65" s="55"/>
      <c r="S65" s="185"/>
    </row>
    <row r="66" spans="2:19" s="5" customFormat="1">
      <c r="B66" s="294"/>
      <c r="C66" s="825"/>
      <c r="D66" s="719"/>
      <c r="E66" s="464" t="s">
        <v>38</v>
      </c>
      <c r="F66" s="520" t="s">
        <v>21</v>
      </c>
      <c r="G66" s="634">
        <f>I63+I64+I65</f>
        <v>17013125.25</v>
      </c>
      <c r="H66" s="635">
        <f>H57</f>
        <v>8.3299999999999999E-2</v>
      </c>
      <c r="I66" s="636">
        <f>+H66*G66</f>
        <v>1417193.333325</v>
      </c>
      <c r="J66" s="604">
        <v>0</v>
      </c>
      <c r="K66" s="616">
        <f>SUM(I63:I66)</f>
        <v>18430318.583324999</v>
      </c>
      <c r="L66" s="163"/>
      <c r="M66" s="296"/>
      <c r="N66" s="86"/>
      <c r="O66" s="86">
        <f>K66</f>
        <v>18430318.583324999</v>
      </c>
      <c r="P66" s="86"/>
      <c r="Q66" s="103"/>
      <c r="R66" s="55"/>
      <c r="S66" s="185"/>
    </row>
    <row r="67" spans="2:19" s="5" customFormat="1">
      <c r="B67" s="294"/>
      <c r="C67" s="825"/>
      <c r="D67" s="719" t="s">
        <v>411</v>
      </c>
      <c r="E67" s="843" t="s">
        <v>379</v>
      </c>
      <c r="F67" s="853"/>
      <c r="G67" s="854"/>
      <c r="H67" s="855"/>
      <c r="I67" s="856"/>
      <c r="J67" s="608"/>
      <c r="K67" s="609"/>
      <c r="L67" s="163"/>
      <c r="M67" s="296"/>
      <c r="N67" s="594"/>
      <c r="O67" s="100"/>
      <c r="P67" s="619"/>
      <c r="Q67" s="103"/>
      <c r="R67" s="55"/>
      <c r="S67" s="185"/>
    </row>
    <row r="68" spans="2:19" s="5" customFormat="1">
      <c r="B68" s="294"/>
      <c r="C68" s="825"/>
      <c r="D68" s="719"/>
      <c r="E68" s="848"/>
      <c r="F68" s="849"/>
      <c r="G68" s="850"/>
      <c r="H68" s="851"/>
      <c r="I68" s="852"/>
      <c r="J68" s="604">
        <v>0</v>
      </c>
      <c r="K68" s="616">
        <f>J68</f>
        <v>0</v>
      </c>
      <c r="L68" s="163"/>
      <c r="M68" s="296"/>
      <c r="N68" s="594"/>
      <c r="O68" s="100"/>
      <c r="P68" s="619"/>
      <c r="Q68" s="103"/>
      <c r="R68" s="55"/>
      <c r="S68" s="185"/>
    </row>
    <row r="69" spans="2:19" s="121" customFormat="1" ht="15" customHeight="1">
      <c r="B69" s="294"/>
      <c r="C69" s="817">
        <f>150/40</f>
        <v>3.75</v>
      </c>
      <c r="D69" s="719" t="s">
        <v>412</v>
      </c>
      <c r="E69" s="515" t="s">
        <v>272</v>
      </c>
      <c r="F69" s="527"/>
      <c r="G69" s="1"/>
      <c r="H69" s="5"/>
      <c r="I69" s="639"/>
      <c r="J69" s="521"/>
      <c r="K69" s="363"/>
      <c r="L69" s="163"/>
      <c r="M69" s="296"/>
      <c r="N69" s="594"/>
      <c r="O69" s="100"/>
      <c r="P69" s="619"/>
      <c r="Q69" s="130"/>
      <c r="R69" s="126"/>
      <c r="S69" s="188"/>
    </row>
    <row r="70" spans="2:19" s="5" customFormat="1">
      <c r="B70" s="294"/>
      <c r="C70" s="818"/>
      <c r="D70" s="719"/>
      <c r="E70" s="729" t="s">
        <v>221</v>
      </c>
      <c r="F70" s="350"/>
      <c r="G70" s="617"/>
      <c r="H70" s="597"/>
      <c r="I70" s="640"/>
      <c r="J70" s="71"/>
      <c r="K70" s="104"/>
      <c r="L70" s="163"/>
      <c r="M70" s="296"/>
      <c r="N70" s="594"/>
      <c r="O70" s="100"/>
      <c r="P70" s="619"/>
      <c r="Q70" s="103"/>
      <c r="R70" s="55"/>
      <c r="S70" s="185"/>
    </row>
    <row r="71" spans="2:19" s="5" customFormat="1">
      <c r="B71" s="294"/>
      <c r="C71" s="818"/>
      <c r="D71" s="719"/>
      <c r="E71" s="329" t="s">
        <v>275</v>
      </c>
      <c r="F71" s="641" t="s">
        <v>87</v>
      </c>
      <c r="G71" s="627">
        <f>'SUTEP a Marzo26'!D4</f>
        <v>68146.92</v>
      </c>
      <c r="H71" s="642">
        <v>120</v>
      </c>
      <c r="I71" s="643">
        <f>+G71*H71</f>
        <v>8177630.3999999994</v>
      </c>
      <c r="J71" s="71"/>
      <c r="K71" s="104"/>
      <c r="L71" s="163"/>
      <c r="M71" s="296"/>
      <c r="N71" s="594"/>
      <c r="O71" s="100"/>
      <c r="P71" s="619"/>
      <c r="Q71" s="103"/>
      <c r="R71" s="55"/>
      <c r="S71" s="185"/>
    </row>
    <row r="72" spans="2:19" s="5" customFormat="1">
      <c r="B72" s="294"/>
      <c r="C72" s="818"/>
      <c r="D72" s="719"/>
      <c r="E72" s="329" t="s">
        <v>257</v>
      </c>
      <c r="F72" s="644" t="s">
        <v>89</v>
      </c>
      <c r="G72" s="580">
        <f>'SUTEP a Marzo26'!D5</f>
        <v>12778.56</v>
      </c>
      <c r="H72" s="113">
        <v>6</v>
      </c>
      <c r="I72" s="618">
        <f>+G72*H72</f>
        <v>76671.360000000001</v>
      </c>
      <c r="J72" s="71"/>
      <c r="K72" s="104"/>
      <c r="L72" s="163"/>
      <c r="M72" s="296"/>
      <c r="N72" s="594"/>
      <c r="O72" s="100"/>
      <c r="P72" s="619"/>
      <c r="Q72" s="103"/>
      <c r="R72" s="55"/>
      <c r="S72" s="185"/>
    </row>
    <row r="73" spans="2:19" s="5" customFormat="1">
      <c r="B73" s="294"/>
      <c r="C73" s="818"/>
      <c r="D73" s="719"/>
      <c r="E73" s="729" t="s">
        <v>86</v>
      </c>
      <c r="F73" s="645"/>
      <c r="G73" s="1"/>
      <c r="I73" s="639"/>
      <c r="J73" s="71"/>
      <c r="K73" s="104"/>
      <c r="L73" s="163"/>
      <c r="M73" s="296"/>
      <c r="N73" s="594"/>
      <c r="O73" s="100"/>
      <c r="P73" s="619"/>
      <c r="Q73" s="103"/>
      <c r="R73" s="55"/>
      <c r="S73" s="185"/>
    </row>
    <row r="74" spans="2:19" s="5" customFormat="1">
      <c r="B74" s="294"/>
      <c r="C74" s="818"/>
      <c r="D74" s="719"/>
      <c r="E74" s="329" t="s">
        <v>276</v>
      </c>
      <c r="F74" s="644" t="s">
        <v>87</v>
      </c>
      <c r="G74" s="580">
        <f>'SUTEP a Marzo26'!D12</f>
        <v>112455</v>
      </c>
      <c r="H74" s="86">
        <v>100</v>
      </c>
      <c r="I74" s="618">
        <f>+G74*H74</f>
        <v>11245500</v>
      </c>
      <c r="J74" s="71"/>
      <c r="K74" s="104"/>
      <c r="L74" s="163"/>
      <c r="M74" s="296"/>
      <c r="N74" s="594"/>
      <c r="O74" s="100"/>
      <c r="P74" s="619"/>
      <c r="Q74" s="103"/>
      <c r="R74" s="55"/>
      <c r="S74" s="185"/>
    </row>
    <row r="75" spans="2:19" s="5" customFormat="1">
      <c r="B75" s="294"/>
      <c r="C75" s="818"/>
      <c r="D75" s="719"/>
      <c r="E75" s="329" t="s">
        <v>88</v>
      </c>
      <c r="F75" s="644" t="s">
        <v>89</v>
      </c>
      <c r="G75" s="580">
        <f>'SUTEP a Marzo26'!D14</f>
        <v>28114.560000000001</v>
      </c>
      <c r="H75" s="113">
        <f>H74*3</f>
        <v>300</v>
      </c>
      <c r="I75" s="618">
        <f>+G75*H75</f>
        <v>8434368</v>
      </c>
      <c r="J75" s="71"/>
      <c r="K75" s="104"/>
      <c r="L75" s="163"/>
      <c r="M75" s="296"/>
      <c r="N75" s="594"/>
      <c r="O75" s="100"/>
      <c r="P75" s="619"/>
      <c r="Q75" s="103"/>
      <c r="R75" s="55"/>
      <c r="S75" s="185"/>
    </row>
    <row r="76" spans="2:19" s="5" customFormat="1">
      <c r="B76" s="294"/>
      <c r="C76" s="818"/>
      <c r="D76" s="719"/>
      <c r="E76" s="729" t="s">
        <v>90</v>
      </c>
      <c r="F76" s="645"/>
      <c r="G76" s="1"/>
      <c r="I76" s="639"/>
      <c r="J76" s="71"/>
      <c r="K76" s="104"/>
      <c r="L76" s="163"/>
      <c r="M76" s="296"/>
      <c r="N76" s="594"/>
      <c r="O76" s="100"/>
      <c r="P76" s="619"/>
      <c r="Q76" s="103"/>
      <c r="R76" s="55"/>
      <c r="S76" s="185"/>
    </row>
    <row r="77" spans="2:19" s="5" customFormat="1">
      <c r="B77" s="294"/>
      <c r="C77" s="818"/>
      <c r="D77" s="719"/>
      <c r="E77" s="329" t="s">
        <v>277</v>
      </c>
      <c r="F77" s="644" t="s">
        <v>35</v>
      </c>
      <c r="G77" s="580">
        <f>'SUTEP a Marzo26'!D19</f>
        <v>134202.96</v>
      </c>
      <c r="H77" s="86">
        <v>20</v>
      </c>
      <c r="I77" s="618">
        <f>+G77*H77</f>
        <v>2684059.1999999997</v>
      </c>
      <c r="J77" s="71"/>
      <c r="K77" s="104"/>
      <c r="L77" s="163"/>
      <c r="M77" s="296"/>
      <c r="N77" s="594"/>
      <c r="O77" s="100"/>
      <c r="P77" s="619"/>
      <c r="Q77" s="103"/>
      <c r="R77" s="55"/>
      <c r="S77" s="185"/>
    </row>
    <row r="78" spans="2:19" s="5" customFormat="1">
      <c r="B78" s="294"/>
      <c r="C78" s="818"/>
      <c r="D78" s="719"/>
      <c r="E78" s="329" t="s">
        <v>91</v>
      </c>
      <c r="F78" s="644" t="s">
        <v>89</v>
      </c>
      <c r="G78" s="580">
        <f>'SUTEP a Marzo26'!D21</f>
        <v>33550.199999999997</v>
      </c>
      <c r="H78" s="113">
        <f>H77*3</f>
        <v>60</v>
      </c>
      <c r="I78" s="618">
        <f>+G78*H78</f>
        <v>2013011.9999999998</v>
      </c>
      <c r="J78" s="646"/>
      <c r="K78" s="647"/>
      <c r="L78" s="163"/>
      <c r="M78" s="296"/>
      <c r="N78" s="621"/>
      <c r="O78" s="622"/>
      <c r="P78" s="623"/>
      <c r="Q78" s="103"/>
      <c r="R78" s="55"/>
      <c r="S78" s="185"/>
    </row>
    <row r="79" spans="2:19" s="5" customFormat="1">
      <c r="B79" s="294"/>
      <c r="C79" s="818"/>
      <c r="D79" s="719"/>
      <c r="E79" s="648"/>
      <c r="F79" s="466"/>
      <c r="G79" s="580"/>
      <c r="H79" s="113"/>
      <c r="I79" s="643"/>
      <c r="J79" s="117">
        <v>0</v>
      </c>
      <c r="K79" s="97">
        <f>SUM(I71:I79)</f>
        <v>32631240.959999997</v>
      </c>
      <c r="L79" s="163"/>
      <c r="M79" s="296"/>
      <c r="N79" s="86"/>
      <c r="O79" s="86">
        <f>K79</f>
        <v>32631240.959999997</v>
      </c>
      <c r="P79" s="86"/>
      <c r="Q79" s="103"/>
      <c r="R79" s="55"/>
      <c r="S79" s="185"/>
    </row>
    <row r="80" spans="2:19" s="5" customFormat="1">
      <c r="B80" s="294"/>
      <c r="C80" s="825"/>
      <c r="D80" s="719" t="s">
        <v>413</v>
      </c>
      <c r="E80" s="857" t="s">
        <v>350</v>
      </c>
      <c r="F80" s="853"/>
      <c r="G80" s="854"/>
      <c r="H80" s="855"/>
      <c r="I80" s="856"/>
      <c r="J80" s="608"/>
      <c r="K80" s="609"/>
      <c r="L80" s="163"/>
      <c r="M80" s="296"/>
      <c r="N80" s="594"/>
      <c r="O80" s="100"/>
      <c r="P80" s="619"/>
      <c r="Q80" s="103"/>
      <c r="R80" s="55"/>
      <c r="S80" s="185"/>
    </row>
    <row r="81" spans="1:23" s="5" customFormat="1">
      <c r="B81" s="294"/>
      <c r="C81" s="825"/>
      <c r="D81" s="719"/>
      <c r="E81" s="848"/>
      <c r="F81" s="849"/>
      <c r="G81" s="850"/>
      <c r="H81" s="851"/>
      <c r="I81" s="852"/>
      <c r="J81" s="604">
        <v>0</v>
      </c>
      <c r="K81" s="616">
        <f>J81</f>
        <v>0</v>
      </c>
      <c r="L81" s="163"/>
      <c r="M81" s="296"/>
      <c r="N81" s="594"/>
      <c r="O81" s="100"/>
      <c r="P81" s="619"/>
      <c r="Q81" s="103"/>
      <c r="R81" s="55"/>
      <c r="S81" s="185"/>
    </row>
    <row r="82" spans="1:23" s="5" customFormat="1">
      <c r="B82" s="294"/>
      <c r="C82" s="825"/>
      <c r="D82" s="719" t="s">
        <v>414</v>
      </c>
      <c r="E82" s="843" t="s">
        <v>380</v>
      </c>
      <c r="F82" s="853"/>
      <c r="G82" s="854"/>
      <c r="H82" s="855"/>
      <c r="I82" s="856"/>
      <c r="J82" s="608"/>
      <c r="K82" s="609"/>
      <c r="L82" s="163"/>
      <c r="M82" s="296"/>
      <c r="N82" s="594"/>
      <c r="O82" s="100"/>
      <c r="P82" s="619"/>
      <c r="Q82" s="103"/>
      <c r="R82" s="55"/>
      <c r="S82" s="185"/>
    </row>
    <row r="83" spans="1:23" s="5" customFormat="1">
      <c r="B83" s="294"/>
      <c r="C83" s="825"/>
      <c r="D83" s="719"/>
      <c r="E83" s="848"/>
      <c r="F83" s="849"/>
      <c r="G83" s="850"/>
      <c r="H83" s="851"/>
      <c r="I83" s="852"/>
      <c r="J83" s="604">
        <v>0</v>
      </c>
      <c r="K83" s="616">
        <f>J83</f>
        <v>0</v>
      </c>
      <c r="L83" s="163"/>
      <c r="M83" s="296"/>
      <c r="N83" s="594"/>
      <c r="O83" s="100"/>
      <c r="P83" s="619"/>
      <c r="Q83" s="103"/>
      <c r="R83" s="55"/>
      <c r="S83" s="185"/>
    </row>
    <row r="84" spans="1:23" s="5" customFormat="1">
      <c r="B84" s="294"/>
      <c r="C84" s="825"/>
      <c r="D84" s="719" t="s">
        <v>415</v>
      </c>
      <c r="E84" s="843" t="s">
        <v>381</v>
      </c>
      <c r="F84" s="853"/>
      <c r="G84" s="854"/>
      <c r="H84" s="855"/>
      <c r="I84" s="856"/>
      <c r="J84" s="608"/>
      <c r="K84" s="609"/>
      <c r="L84" s="163"/>
      <c r="M84" s="296"/>
      <c r="N84" s="594"/>
      <c r="O84" s="100"/>
      <c r="P84" s="619"/>
      <c r="Q84" s="103"/>
      <c r="R84" s="55"/>
      <c r="S84" s="185"/>
    </row>
    <row r="85" spans="1:23" s="5" customFormat="1">
      <c r="B85" s="294"/>
      <c r="C85" s="825"/>
      <c r="D85" s="719"/>
      <c r="E85" s="848"/>
      <c r="F85" s="849"/>
      <c r="G85" s="850"/>
      <c r="H85" s="851"/>
      <c r="I85" s="852"/>
      <c r="J85" s="604">
        <v>0</v>
      </c>
      <c r="K85" s="616">
        <f>J85</f>
        <v>0</v>
      </c>
      <c r="L85" s="163"/>
      <c r="M85" s="296"/>
      <c r="N85" s="594"/>
      <c r="O85" s="100"/>
      <c r="P85" s="619"/>
      <c r="Q85" s="103"/>
      <c r="R85" s="55"/>
      <c r="S85" s="185"/>
    </row>
    <row r="86" spans="1:23" s="5" customFormat="1">
      <c r="B86" s="294"/>
      <c r="C86" s="825"/>
      <c r="D86" s="719" t="s">
        <v>416</v>
      </c>
      <c r="E86" s="843" t="s">
        <v>382</v>
      </c>
      <c r="F86" s="853"/>
      <c r="G86" s="854"/>
      <c r="H86" s="855"/>
      <c r="I86" s="856"/>
      <c r="J86" s="608"/>
      <c r="K86" s="609"/>
      <c r="L86" s="163"/>
      <c r="M86" s="296"/>
      <c r="N86" s="594"/>
      <c r="O86" s="100"/>
      <c r="P86" s="619"/>
      <c r="Q86" s="103"/>
      <c r="R86" s="55"/>
      <c r="S86" s="185"/>
    </row>
    <row r="87" spans="1:23" s="5" customFormat="1">
      <c r="B87" s="294"/>
      <c r="C87" s="825"/>
      <c r="D87" s="719"/>
      <c r="E87" s="848"/>
      <c r="F87" s="849"/>
      <c r="G87" s="850"/>
      <c r="H87" s="851"/>
      <c r="I87" s="852"/>
      <c r="J87" s="604">
        <v>0</v>
      </c>
      <c r="K87" s="616">
        <f>J87</f>
        <v>0</v>
      </c>
      <c r="L87" s="163"/>
      <c r="M87" s="296"/>
      <c r="N87" s="594"/>
      <c r="O87" s="100"/>
      <c r="P87" s="619"/>
      <c r="Q87" s="103"/>
      <c r="R87" s="55"/>
      <c r="S87" s="185"/>
    </row>
    <row r="88" spans="1:23" s="5" customFormat="1">
      <c r="B88" s="294"/>
      <c r="C88" s="825"/>
      <c r="D88" s="719" t="s">
        <v>417</v>
      </c>
      <c r="E88" s="858" t="s">
        <v>378</v>
      </c>
      <c r="F88" s="853"/>
      <c r="G88" s="854"/>
      <c r="H88" s="855"/>
      <c r="I88" s="856"/>
      <c r="J88" s="608"/>
      <c r="K88" s="609"/>
      <c r="L88" s="163"/>
      <c r="M88" s="296"/>
      <c r="N88" s="594"/>
      <c r="O88" s="100"/>
      <c r="P88" s="619"/>
      <c r="Q88" s="103"/>
      <c r="R88" s="55"/>
      <c r="S88" s="185"/>
    </row>
    <row r="89" spans="1:23" s="5" customFormat="1">
      <c r="B89" s="294"/>
      <c r="C89" s="825"/>
      <c r="D89" s="719"/>
      <c r="E89" s="859"/>
      <c r="F89" s="849"/>
      <c r="G89" s="850"/>
      <c r="H89" s="851"/>
      <c r="I89" s="852"/>
      <c r="J89" s="604">
        <v>0</v>
      </c>
      <c r="K89" s="616">
        <f>J89</f>
        <v>0</v>
      </c>
      <c r="L89" s="163"/>
      <c r="M89" s="296"/>
      <c r="N89" s="594"/>
      <c r="O89" s="100"/>
      <c r="P89" s="619"/>
      <c r="Q89" s="103"/>
      <c r="R89" s="55"/>
      <c r="S89" s="185"/>
    </row>
    <row r="90" spans="1:23" s="121" customFormat="1" ht="15" customHeight="1">
      <c r="B90" s="294"/>
      <c r="C90" s="818"/>
      <c r="D90" s="719" t="s">
        <v>418</v>
      </c>
      <c r="E90" s="182" t="s">
        <v>92</v>
      </c>
      <c r="F90" s="535"/>
      <c r="G90" s="637"/>
      <c r="H90" s="612"/>
      <c r="I90" s="618"/>
      <c r="J90" s="649"/>
      <c r="K90" s="117"/>
      <c r="L90" s="163"/>
      <c r="M90" s="296"/>
      <c r="N90" s="594"/>
      <c r="O90" s="100"/>
      <c r="P90" s="619"/>
      <c r="Q90" s="133"/>
      <c r="R90" s="126"/>
      <c r="S90" s="188"/>
    </row>
    <row r="91" spans="1:23" s="5" customFormat="1">
      <c r="B91" s="294"/>
      <c r="C91" s="818"/>
      <c r="D91" s="719"/>
      <c r="E91" s="119" t="s">
        <v>93</v>
      </c>
      <c r="F91" s="477" t="s">
        <v>21</v>
      </c>
      <c r="G91" s="580">
        <v>0</v>
      </c>
      <c r="H91" s="113">
        <v>1</v>
      </c>
      <c r="I91" s="618">
        <f>G91*H91</f>
        <v>0</v>
      </c>
      <c r="J91" s="117">
        <v>0</v>
      </c>
      <c r="K91" s="97">
        <f>SUM(I91)</f>
        <v>0</v>
      </c>
      <c r="L91" s="163"/>
      <c r="M91" s="296"/>
      <c r="N91" s="86"/>
      <c r="O91" s="86">
        <f>K91</f>
        <v>0</v>
      </c>
      <c r="P91" s="86"/>
      <c r="Q91" s="103"/>
      <c r="R91" s="55"/>
      <c r="S91" s="185"/>
    </row>
    <row r="92" spans="1:23" s="5" customFormat="1">
      <c r="B92" s="294"/>
      <c r="C92" s="818"/>
      <c r="D92" s="719"/>
      <c r="E92" s="119" t="s">
        <v>94</v>
      </c>
      <c r="F92" s="477" t="s">
        <v>21</v>
      </c>
      <c r="G92" s="580">
        <v>0</v>
      </c>
      <c r="H92" s="113">
        <v>1</v>
      </c>
      <c r="I92" s="618">
        <f>G92*H92</f>
        <v>0</v>
      </c>
      <c r="J92" s="117">
        <v>0</v>
      </c>
      <c r="K92" s="97">
        <f>SUM(I92)</f>
        <v>0</v>
      </c>
      <c r="L92" s="163"/>
      <c r="M92" s="296"/>
      <c r="N92" s="86"/>
      <c r="O92" s="86">
        <f>K92</f>
        <v>0</v>
      </c>
      <c r="P92" s="86"/>
      <c r="Q92" s="103"/>
      <c r="R92" s="55"/>
      <c r="S92" s="185"/>
    </row>
    <row r="93" spans="1:23" s="5" customFormat="1">
      <c r="B93" s="294"/>
      <c r="C93" s="818"/>
      <c r="D93" s="719"/>
      <c r="E93" s="119" t="s">
        <v>95</v>
      </c>
      <c r="F93" s="477" t="s">
        <v>21</v>
      </c>
      <c r="G93" s="580">
        <v>0</v>
      </c>
      <c r="H93" s="113">
        <v>1</v>
      </c>
      <c r="I93" s="618">
        <f>G93*H93</f>
        <v>0</v>
      </c>
      <c r="J93" s="117">
        <v>0</v>
      </c>
      <c r="K93" s="97">
        <f>SUM(I93)</f>
        <v>0</v>
      </c>
      <c r="L93" s="163"/>
      <c r="M93" s="296"/>
      <c r="N93" s="86"/>
      <c r="O93" s="86">
        <f>K93</f>
        <v>0</v>
      </c>
      <c r="P93" s="86"/>
      <c r="Q93" s="103"/>
      <c r="R93" s="55"/>
      <c r="S93" s="185"/>
    </row>
    <row r="94" spans="1:23" s="5" customFormat="1">
      <c r="B94" s="294"/>
      <c r="C94" s="819"/>
      <c r="D94" s="719"/>
      <c r="E94" s="650" t="s">
        <v>96</v>
      </c>
      <c r="F94" s="536" t="s">
        <v>97</v>
      </c>
      <c r="G94" s="588">
        <v>0</v>
      </c>
      <c r="H94" s="651">
        <v>1</v>
      </c>
      <c r="I94" s="652"/>
      <c r="J94" s="117">
        <v>0</v>
      </c>
      <c r="K94" s="97">
        <f>SUM(I94)</f>
        <v>0</v>
      </c>
      <c r="L94" s="163"/>
      <c r="M94" s="296"/>
      <c r="N94" s="86"/>
      <c r="O94" s="86">
        <f>K94</f>
        <v>0</v>
      </c>
      <c r="P94" s="86"/>
      <c r="Q94" s="103"/>
      <c r="R94" s="55"/>
      <c r="S94" s="185"/>
    </row>
    <row r="95" spans="1:23" s="67" customFormat="1" ht="15" customHeight="1">
      <c r="A95" s="63"/>
      <c r="B95" s="295"/>
      <c r="C95" s="816">
        <f>SUM(C48:C94)</f>
        <v>38.75</v>
      </c>
      <c r="D95" s="721"/>
      <c r="E95" s="98"/>
      <c r="F95" s="92"/>
      <c r="G95" s="1051" t="s">
        <v>98</v>
      </c>
      <c r="H95" s="1051" t="s">
        <v>15</v>
      </c>
      <c r="I95" s="383">
        <f>SUM(I47:I94)</f>
        <v>125438729.98532501</v>
      </c>
      <c r="J95" s="93">
        <f>SUM(J48:J94)</f>
        <v>0</v>
      </c>
      <c r="K95" s="93">
        <f>SUM(K48:K94)</f>
        <v>125438729.98532499</v>
      </c>
      <c r="L95" s="165"/>
      <c r="M95" s="296"/>
      <c r="N95" s="94">
        <f>SUM(N47:N94)</f>
        <v>24544466.245859999</v>
      </c>
      <c r="O95" s="95">
        <f>SUM(O47:O94)</f>
        <v>100894263.73946498</v>
      </c>
      <c r="P95" s="96">
        <f>SUM(P47:P94)</f>
        <v>0</v>
      </c>
      <c r="Q95" s="379">
        <f>SUM(N95:P95)</f>
        <v>125438729.98532498</v>
      </c>
      <c r="R95" s="66"/>
      <c r="S95" s="186"/>
      <c r="W95" s="1"/>
    </row>
    <row r="96" spans="1:23" ht="30" customHeight="1">
      <c r="B96" s="294"/>
      <c r="C96" s="812"/>
      <c r="D96" s="719"/>
      <c r="E96" s="98"/>
      <c r="F96" s="92"/>
      <c r="G96" s="70"/>
      <c r="H96" s="7"/>
      <c r="I96" s="70"/>
      <c r="J96" s="70"/>
      <c r="K96" s="7"/>
      <c r="L96" s="177"/>
      <c r="M96" s="296"/>
      <c r="N96" s="594"/>
      <c r="O96" s="100"/>
      <c r="P96" s="619"/>
      <c r="Q96" s="178"/>
      <c r="R96" s="179"/>
    </row>
    <row r="97" spans="1:23" s="67" customFormat="1" ht="15" customHeight="1">
      <c r="A97" s="63"/>
      <c r="B97" s="293"/>
      <c r="C97" s="811"/>
      <c r="D97" s="755">
        <v>6</v>
      </c>
      <c r="E97" s="45" t="s">
        <v>99</v>
      </c>
      <c r="F97" s="269" t="s">
        <v>18</v>
      </c>
      <c r="G97" s="390" t="s">
        <v>19</v>
      </c>
      <c r="H97" s="525" t="s">
        <v>20</v>
      </c>
      <c r="I97" s="381" t="s">
        <v>9</v>
      </c>
      <c r="J97" s="81" t="s">
        <v>10</v>
      </c>
      <c r="K97" s="81" t="s">
        <v>11</v>
      </c>
      <c r="L97" s="165"/>
      <c r="M97" s="296"/>
      <c r="N97" s="83" t="s">
        <v>12</v>
      </c>
      <c r="O97" s="83" t="s">
        <v>13</v>
      </c>
      <c r="P97" s="83" t="s">
        <v>14</v>
      </c>
      <c r="Q97" s="378" t="s">
        <v>9</v>
      </c>
      <c r="R97" s="82"/>
      <c r="S97" s="186"/>
      <c r="W97" s="1"/>
    </row>
    <row r="98" spans="1:23" ht="15" customHeight="1">
      <c r="A98" s="5"/>
      <c r="B98" s="294"/>
      <c r="C98" s="826"/>
      <c r="D98" s="719" t="s">
        <v>419</v>
      </c>
      <c r="E98" s="134" t="s">
        <v>539</v>
      </c>
      <c r="F98" s="653">
        <f>(25+2.4)/100</f>
        <v>0.27399999999999997</v>
      </c>
      <c r="G98" s="554">
        <f>K95-K79</f>
        <v>92807489.025325</v>
      </c>
      <c r="H98" s="654">
        <v>1</v>
      </c>
      <c r="I98" s="112">
        <f>F98*G98*H98</f>
        <v>25429251.992939048</v>
      </c>
      <c r="J98" s="655">
        <v>0</v>
      </c>
      <c r="K98" s="655">
        <f>I98+J98</f>
        <v>25429251.992939048</v>
      </c>
      <c r="L98" s="163"/>
      <c r="M98" s="296"/>
      <c r="N98" s="86">
        <f>I98*30%</f>
        <v>7628775.5978817139</v>
      </c>
      <c r="O98" s="580">
        <f>I98-N98</f>
        <v>17800476.395057335</v>
      </c>
      <c r="P98" s="86"/>
      <c r="Q98" s="87"/>
      <c r="R98" s="55"/>
      <c r="S98" s="185"/>
      <c r="T98" s="135"/>
    </row>
    <row r="99" spans="1:23" ht="15" customHeight="1">
      <c r="A99" s="5"/>
      <c r="B99" s="294"/>
      <c r="C99" s="826"/>
      <c r="D99" s="719"/>
      <c r="E99" s="544" t="s">
        <v>482</v>
      </c>
      <c r="F99" s="656"/>
      <c r="G99" s="288"/>
      <c r="H99" s="657"/>
      <c r="I99" s="112"/>
      <c r="J99" s="655"/>
      <c r="K99" s="655"/>
      <c r="L99" s="163"/>
      <c r="M99" s="296"/>
      <c r="N99" s="86"/>
      <c r="O99" s="580"/>
      <c r="P99" s="86"/>
      <c r="Q99" s="87"/>
      <c r="R99" s="55"/>
      <c r="S99" s="185"/>
      <c r="T99" s="135"/>
    </row>
    <row r="100" spans="1:23" ht="15" customHeight="1">
      <c r="A100" s="5"/>
      <c r="B100" s="294"/>
      <c r="C100" s="826"/>
      <c r="D100" s="719" t="s">
        <v>420</v>
      </c>
      <c r="E100" s="134" t="s">
        <v>540</v>
      </c>
      <c r="F100" s="658">
        <f>(27+2)/100</f>
        <v>0.28999999999999998</v>
      </c>
      <c r="G100" s="288">
        <f>I44</f>
        <v>407498297.48448205</v>
      </c>
      <c r="H100" s="657">
        <v>1</v>
      </c>
      <c r="I100" s="112">
        <f>F100*G100*H100</f>
        <v>118174506.27049978</v>
      </c>
      <c r="J100" s="655">
        <v>0</v>
      </c>
      <c r="K100" s="655">
        <f>I100+J100</f>
        <v>118174506.27049978</v>
      </c>
      <c r="L100" s="163"/>
      <c r="M100" s="296"/>
      <c r="N100" s="86">
        <f>I100*30%</f>
        <v>35452351.881149933</v>
      </c>
      <c r="O100" s="580">
        <f>I100*50%</f>
        <v>59087253.13524989</v>
      </c>
      <c r="P100" s="86">
        <f>I100-N100-O100</f>
        <v>23634901.254099958</v>
      </c>
      <c r="Q100" s="87"/>
      <c r="R100" s="55"/>
      <c r="S100" s="185"/>
      <c r="V100" s="135"/>
    </row>
    <row r="101" spans="1:23" ht="15" customHeight="1">
      <c r="A101" s="5"/>
      <c r="B101" s="294"/>
      <c r="C101" s="826"/>
      <c r="D101" s="719"/>
      <c r="E101" s="544" t="s">
        <v>483</v>
      </c>
      <c r="F101" s="658"/>
      <c r="G101" s="288"/>
      <c r="H101" s="657"/>
      <c r="I101" s="112"/>
      <c r="J101" s="655"/>
      <c r="K101" s="655"/>
      <c r="L101" s="163"/>
      <c r="M101" s="296"/>
      <c r="N101" s="86"/>
      <c r="O101" s="580"/>
      <c r="P101" s="86"/>
      <c r="Q101" s="87"/>
      <c r="R101" s="55"/>
      <c r="S101" s="185"/>
      <c r="T101" s="135"/>
    </row>
    <row r="102" spans="1:23" ht="15" customHeight="1">
      <c r="A102" s="5"/>
      <c r="B102" s="294"/>
      <c r="C102" s="826"/>
      <c r="D102" s="719" t="s">
        <v>421</v>
      </c>
      <c r="E102" s="134" t="s">
        <v>541</v>
      </c>
      <c r="F102" s="533">
        <v>0.13</v>
      </c>
      <c r="G102" s="288">
        <f>G205</f>
        <v>9600940.0600000005</v>
      </c>
      <c r="H102" s="657">
        <v>1</v>
      </c>
      <c r="I102" s="112">
        <f>F102*G102*H102</f>
        <v>1248122.2078000002</v>
      </c>
      <c r="J102" s="655">
        <v>0</v>
      </c>
      <c r="K102" s="655">
        <f>I102+J102</f>
        <v>1248122.2078000002</v>
      </c>
      <c r="L102" s="163"/>
      <c r="M102" s="296"/>
      <c r="N102" s="86"/>
      <c r="O102" s="580"/>
      <c r="P102" s="86">
        <f>K102</f>
        <v>1248122.2078000002</v>
      </c>
      <c r="Q102" s="87"/>
      <c r="R102" s="55"/>
      <c r="S102" s="185"/>
    </row>
    <row r="103" spans="1:23" ht="15" customHeight="1">
      <c r="A103" s="5"/>
      <c r="B103" s="294"/>
      <c r="C103" s="826"/>
      <c r="D103" s="719"/>
      <c r="E103" s="544" t="s">
        <v>338</v>
      </c>
      <c r="F103" s="658"/>
      <c r="G103" s="288">
        <f>288406*G6</f>
        <v>311478.48000000004</v>
      </c>
      <c r="H103" s="657"/>
      <c r="I103" s="112">
        <f>G103</f>
        <v>311478.48000000004</v>
      </c>
      <c r="J103" s="655"/>
      <c r="K103" s="655">
        <f>I103+J103</f>
        <v>311478.48000000004</v>
      </c>
      <c r="L103" s="163"/>
      <c r="M103" s="296"/>
      <c r="N103" s="86"/>
      <c r="O103" s="580"/>
      <c r="P103" s="86">
        <f>K103</f>
        <v>311478.48000000004</v>
      </c>
      <c r="Q103" s="87"/>
      <c r="R103" s="55"/>
      <c r="S103" s="185"/>
      <c r="T103" s="135"/>
    </row>
    <row r="104" spans="1:23" ht="15" customHeight="1">
      <c r="A104" s="5"/>
      <c r="B104" s="294"/>
      <c r="C104" s="826"/>
      <c r="D104" s="719" t="s">
        <v>422</v>
      </c>
      <c r="E104" s="273" t="s">
        <v>542</v>
      </c>
      <c r="F104" s="659">
        <v>0.15</v>
      </c>
      <c r="G104" s="550">
        <f>K79</f>
        <v>32631240.959999997</v>
      </c>
      <c r="H104" s="660">
        <v>1</v>
      </c>
      <c r="I104" s="612">
        <f>F104*G104*H104</f>
        <v>4894686.1439999994</v>
      </c>
      <c r="J104" s="661">
        <v>0</v>
      </c>
      <c r="K104" s="661">
        <f>I104+J104</f>
        <v>4894686.1439999994</v>
      </c>
      <c r="L104" s="163"/>
      <c r="M104" s="296"/>
      <c r="N104" s="86"/>
      <c r="O104" s="580">
        <f>I104</f>
        <v>4894686.1439999994</v>
      </c>
      <c r="P104" s="86"/>
      <c r="Q104" s="87"/>
      <c r="R104" s="55"/>
      <c r="S104" s="185"/>
    </row>
    <row r="105" spans="1:23" ht="15" customHeight="1">
      <c r="A105" s="5"/>
      <c r="B105" s="294"/>
      <c r="C105" s="826"/>
      <c r="D105" s="719"/>
      <c r="E105" s="548"/>
      <c r="F105" s="555"/>
      <c r="G105" s="549"/>
      <c r="H105" s="662"/>
      <c r="I105" s="663"/>
      <c r="J105" s="664"/>
      <c r="K105" s="665"/>
      <c r="L105" s="163"/>
      <c r="M105" s="296"/>
      <c r="N105" s="114"/>
      <c r="O105" s="580"/>
      <c r="P105" s="112"/>
      <c r="Q105" s="87"/>
      <c r="R105" s="55"/>
      <c r="S105" s="185"/>
    </row>
    <row r="106" spans="1:23" ht="15" customHeight="1">
      <c r="A106" s="5"/>
      <c r="B106" s="294"/>
      <c r="C106" s="826"/>
      <c r="D106" s="719" t="s">
        <v>423</v>
      </c>
      <c r="E106" s="553" t="s">
        <v>383</v>
      </c>
      <c r="F106" s="551"/>
      <c r="G106" s="552"/>
      <c r="H106" s="666">
        <v>0</v>
      </c>
      <c r="I106" s="667"/>
      <c r="J106" s="668">
        <v>0</v>
      </c>
      <c r="K106" s="655">
        <f>I106+J106</f>
        <v>0</v>
      </c>
      <c r="L106" s="163"/>
      <c r="M106" s="296"/>
      <c r="N106" s="594"/>
      <c r="O106" s="100"/>
      <c r="P106" s="619"/>
      <c r="Q106" s="87"/>
      <c r="R106" s="55"/>
      <c r="S106" s="185"/>
    </row>
    <row r="107" spans="1:23" ht="15" customHeight="1">
      <c r="A107" s="5"/>
      <c r="B107" s="294"/>
      <c r="C107" s="826"/>
      <c r="D107" s="719"/>
      <c r="E107" s="548"/>
      <c r="F107" s="555"/>
      <c r="G107" s="549"/>
      <c r="H107" s="662"/>
      <c r="I107" s="663"/>
      <c r="J107" s="664"/>
      <c r="K107" s="665"/>
      <c r="L107" s="163"/>
      <c r="M107" s="296"/>
      <c r="N107" s="594"/>
      <c r="O107" s="100"/>
      <c r="P107" s="619"/>
      <c r="Q107" s="87"/>
      <c r="R107" s="55"/>
      <c r="S107" s="185"/>
    </row>
    <row r="108" spans="1:23" s="67" customFormat="1" ht="15" customHeight="1">
      <c r="A108" s="63"/>
      <c r="B108" s="295"/>
      <c r="C108" s="813">
        <f>SUM(C100:C104)</f>
        <v>0</v>
      </c>
      <c r="D108" s="719"/>
      <c r="E108" s="98"/>
      <c r="F108" s="92"/>
      <c r="G108" s="1043" t="s">
        <v>100</v>
      </c>
      <c r="H108" s="1044" t="s">
        <v>15</v>
      </c>
      <c r="I108" s="545">
        <f>SUM(I98:I107)</f>
        <v>150058045.0952388</v>
      </c>
      <c r="J108" s="546">
        <f>SUM(J98:J107)</f>
        <v>0</v>
      </c>
      <c r="K108" s="547">
        <f>SUM(K98:K107)</f>
        <v>150058045.0952388</v>
      </c>
      <c r="L108" s="165"/>
      <c r="M108" s="296"/>
      <c r="N108" s="94">
        <f>SUM(N98:N107)</f>
        <v>43081127.479031645</v>
      </c>
      <c r="O108" s="95">
        <f>SUM(O98:O107)</f>
        <v>81782415.674307227</v>
      </c>
      <c r="P108" s="96">
        <f>SUM(P98:P107)</f>
        <v>25194501.941899959</v>
      </c>
      <c r="Q108" s="379">
        <f>SUM(N108:P108)</f>
        <v>150058045.09523883</v>
      </c>
      <c r="R108" s="66"/>
      <c r="S108" s="186"/>
      <c r="W108" s="1"/>
    </row>
    <row r="109" spans="1:23" ht="30" customHeight="1">
      <c r="B109" s="294"/>
      <c r="C109" s="812"/>
      <c r="D109" s="719"/>
      <c r="E109" s="98"/>
      <c r="F109" s="92"/>
      <c r="G109" s="70"/>
      <c r="H109" s="7"/>
      <c r="I109" s="70"/>
      <c r="J109" s="70"/>
      <c r="K109" s="7"/>
      <c r="L109" s="177"/>
      <c r="M109" s="296"/>
      <c r="N109" s="594"/>
      <c r="O109" s="100"/>
      <c r="P109" s="619"/>
      <c r="Q109" s="178"/>
      <c r="R109" s="179"/>
    </row>
    <row r="110" spans="1:23" s="67" customFormat="1" ht="15" customHeight="1">
      <c r="A110" s="63"/>
      <c r="B110" s="293"/>
      <c r="C110" s="811"/>
      <c r="D110" s="755">
        <v>7</v>
      </c>
      <c r="E110" s="45" t="s">
        <v>101</v>
      </c>
      <c r="F110" s="78" t="s">
        <v>18</v>
      </c>
      <c r="G110" s="389" t="s">
        <v>19</v>
      </c>
      <c r="H110" s="80" t="s">
        <v>20</v>
      </c>
      <c r="I110" s="381" t="s">
        <v>9</v>
      </c>
      <c r="J110" s="81" t="s">
        <v>10</v>
      </c>
      <c r="K110" s="81" t="s">
        <v>11</v>
      </c>
      <c r="L110" s="165"/>
      <c r="M110" s="296"/>
      <c r="N110" s="83" t="s">
        <v>12</v>
      </c>
      <c r="O110" s="83" t="s">
        <v>13</v>
      </c>
      <c r="P110" s="83" t="s">
        <v>14</v>
      </c>
      <c r="Q110" s="378" t="s">
        <v>9</v>
      </c>
      <c r="R110" s="82"/>
      <c r="S110" s="186"/>
      <c r="W110" s="1"/>
    </row>
    <row r="111" spans="1:23" s="121" customFormat="1" ht="15" customHeight="1">
      <c r="B111" s="294"/>
      <c r="C111" s="826"/>
      <c r="D111" s="719" t="s">
        <v>424</v>
      </c>
      <c r="E111" s="122" t="s">
        <v>385</v>
      </c>
      <c r="F111" s="132"/>
      <c r="G111" s="669"/>
      <c r="H111" s="612"/>
      <c r="I111" s="86"/>
      <c r="J111" s="670"/>
      <c r="K111" s="117"/>
      <c r="L111" s="163"/>
      <c r="M111" s="296"/>
      <c r="N111" s="132"/>
      <c r="O111" s="115"/>
      <c r="P111" s="612"/>
      <c r="Q111" s="133"/>
      <c r="R111" s="126"/>
      <c r="S111" s="188"/>
    </row>
    <row r="112" spans="1:23" s="5" customFormat="1" ht="15" customHeight="1">
      <c r="B112" s="290"/>
      <c r="C112" s="826"/>
      <c r="D112" s="722"/>
      <c r="E112" s="23" t="s">
        <v>324</v>
      </c>
      <c r="F112" s="89" t="s">
        <v>102</v>
      </c>
      <c r="G112" s="288">
        <f>960000*G6*122%</f>
        <v>1264896</v>
      </c>
      <c r="H112" s="86">
        <v>10</v>
      </c>
      <c r="I112" s="86">
        <f>H112*G112</f>
        <v>12648960</v>
      </c>
      <c r="J112" s="86">
        <f>I112*21%</f>
        <v>2656281.6000000001</v>
      </c>
      <c r="K112" s="86">
        <f>I112+J112</f>
        <v>15305241.6</v>
      </c>
      <c r="L112" s="163"/>
      <c r="M112" s="296"/>
      <c r="N112" s="86">
        <f>I112*0.8</f>
        <v>10119168</v>
      </c>
      <c r="O112" s="86">
        <f>I112*0.2</f>
        <v>2529792</v>
      </c>
      <c r="P112" s="86"/>
      <c r="Q112" s="87"/>
      <c r="R112" s="22"/>
      <c r="S112" s="185"/>
    </row>
    <row r="113" spans="1:23" s="5" customFormat="1" ht="15" customHeight="1">
      <c r="B113" s="290"/>
      <c r="C113" s="826"/>
      <c r="D113" s="722"/>
      <c r="E113" s="23" t="s">
        <v>325</v>
      </c>
      <c r="F113" s="89" t="s">
        <v>102</v>
      </c>
      <c r="G113" s="288">
        <f>G6*780000*122%</f>
        <v>1027728</v>
      </c>
      <c r="H113" s="86">
        <v>10</v>
      </c>
      <c r="I113" s="86">
        <f>H113*G113</f>
        <v>10277280</v>
      </c>
      <c r="J113" s="86">
        <f>I113*21%</f>
        <v>2158228.7999999998</v>
      </c>
      <c r="K113" s="86">
        <f>I113+J113</f>
        <v>12435508.800000001</v>
      </c>
      <c r="L113" s="163"/>
      <c r="M113" s="296"/>
      <c r="N113" s="86">
        <f>I113*0.8</f>
        <v>8221824</v>
      </c>
      <c r="O113" s="86">
        <f>I113*0.2</f>
        <v>2055456</v>
      </c>
      <c r="P113" s="86"/>
      <c r="Q113" s="87"/>
      <c r="R113" s="22"/>
      <c r="S113" s="185"/>
    </row>
    <row r="114" spans="1:23" s="5" customFormat="1">
      <c r="B114" s="294"/>
      <c r="C114" s="807"/>
      <c r="D114" s="719" t="s">
        <v>425</v>
      </c>
      <c r="E114" s="843" t="s">
        <v>384</v>
      </c>
      <c r="F114" s="879"/>
      <c r="G114" s="854"/>
      <c r="H114" s="855"/>
      <c r="I114" s="865"/>
      <c r="J114" s="608"/>
      <c r="K114" s="609"/>
      <c r="L114" s="163"/>
      <c r="M114" s="296"/>
      <c r="N114" s="594"/>
      <c r="O114" s="100"/>
      <c r="P114" s="619"/>
      <c r="Q114" s="103"/>
      <c r="R114" s="55"/>
      <c r="S114" s="185"/>
    </row>
    <row r="115" spans="1:23" s="5" customFormat="1">
      <c r="B115" s="294"/>
      <c r="C115" s="807"/>
      <c r="D115" s="722"/>
      <c r="E115" s="859"/>
      <c r="F115" s="881"/>
      <c r="G115" s="850"/>
      <c r="H115" s="851"/>
      <c r="I115" s="852"/>
      <c r="J115" s="616">
        <v>0</v>
      </c>
      <c r="K115" s="616">
        <f>J115</f>
        <v>0</v>
      </c>
      <c r="L115" s="163"/>
      <c r="M115" s="296"/>
      <c r="N115" s="594"/>
      <c r="O115" s="100"/>
      <c r="P115" s="619"/>
      <c r="Q115" s="103"/>
      <c r="R115" s="55"/>
      <c r="S115" s="185"/>
    </row>
    <row r="116" spans="1:23" s="121" customFormat="1" ht="15" customHeight="1">
      <c r="B116" s="294"/>
      <c r="C116" s="826"/>
      <c r="D116" s="719" t="s">
        <v>426</v>
      </c>
      <c r="E116" s="122" t="s">
        <v>103</v>
      </c>
      <c r="F116" s="132"/>
      <c r="G116" s="669"/>
      <c r="H116" s="612"/>
      <c r="I116" s="86"/>
      <c r="J116" s="670"/>
      <c r="K116" s="117"/>
      <c r="L116" s="163"/>
      <c r="M116" s="296"/>
      <c r="N116" s="594"/>
      <c r="O116" s="100"/>
      <c r="P116" s="619"/>
      <c r="Q116" s="133"/>
      <c r="R116" s="126"/>
      <c r="S116" s="188"/>
    </row>
    <row r="117" spans="1:23" s="5" customFormat="1" ht="15" customHeight="1">
      <c r="B117" s="290"/>
      <c r="C117" s="826"/>
      <c r="D117" s="722"/>
      <c r="E117" s="23" t="s">
        <v>104</v>
      </c>
      <c r="F117" s="89" t="s">
        <v>21</v>
      </c>
      <c r="G117" s="288">
        <f>G6*1800000*122%</f>
        <v>2371680</v>
      </c>
      <c r="H117" s="86">
        <v>1</v>
      </c>
      <c r="I117" s="86">
        <f>H117*G117</f>
        <v>2371680</v>
      </c>
      <c r="J117" s="86">
        <f>I117*21%</f>
        <v>498052.8</v>
      </c>
      <c r="K117" s="86">
        <f>I117+J117</f>
        <v>2869732.8</v>
      </c>
      <c r="L117" s="163"/>
      <c r="M117" s="296"/>
      <c r="N117" s="86">
        <f>I117*0.8</f>
        <v>1897344</v>
      </c>
      <c r="O117" s="86">
        <f>I117*0.2</f>
        <v>474336</v>
      </c>
      <c r="P117" s="86"/>
      <c r="Q117" s="87"/>
      <c r="R117" s="22"/>
      <c r="S117" s="185"/>
    </row>
    <row r="118" spans="1:23" s="121" customFormat="1" ht="15" customHeight="1">
      <c r="B118" s="294"/>
      <c r="C118" s="826"/>
      <c r="D118" s="719" t="s">
        <v>427</v>
      </c>
      <c r="E118" s="122" t="s">
        <v>105</v>
      </c>
      <c r="F118" s="132"/>
      <c r="G118" s="669"/>
      <c r="H118" s="672"/>
      <c r="I118" s="86"/>
      <c r="J118" s="670"/>
      <c r="K118" s="117"/>
      <c r="L118" s="163"/>
      <c r="M118" s="296"/>
      <c r="N118" s="132"/>
      <c r="O118" s="115"/>
      <c r="P118" s="612"/>
      <c r="Q118" s="133"/>
      <c r="R118" s="126"/>
      <c r="S118" s="188"/>
    </row>
    <row r="119" spans="1:23" s="5" customFormat="1" ht="15" customHeight="1">
      <c r="B119" s="290"/>
      <c r="C119" s="826"/>
      <c r="D119" s="722"/>
      <c r="E119" s="23" t="s">
        <v>104</v>
      </c>
      <c r="F119" s="89" t="s">
        <v>21</v>
      </c>
      <c r="G119" s="288">
        <f>G6*100000*122%</f>
        <v>131760</v>
      </c>
      <c r="H119" s="580">
        <f>C59</f>
        <v>30</v>
      </c>
      <c r="I119" s="86">
        <f>+H119*G119</f>
        <v>3952800</v>
      </c>
      <c r="J119" s="86">
        <f>I119*21%</f>
        <v>830088</v>
      </c>
      <c r="K119" s="97">
        <f>I119+J119</f>
        <v>4782888</v>
      </c>
      <c r="L119" s="163"/>
      <c r="M119" s="296"/>
      <c r="N119" s="86">
        <f>I119*0.8</f>
        <v>3162240</v>
      </c>
      <c r="O119" s="86">
        <f>I119*0.2</f>
        <v>790560</v>
      </c>
      <c r="P119" s="86"/>
      <c r="Q119" s="87"/>
      <c r="R119" s="22"/>
      <c r="S119" s="185"/>
    </row>
    <row r="120" spans="1:23" s="121" customFormat="1" ht="15" customHeight="1">
      <c r="B120" s="294"/>
      <c r="C120" s="826"/>
      <c r="D120" s="719" t="s">
        <v>428</v>
      </c>
      <c r="E120" s="122" t="s">
        <v>106</v>
      </c>
      <c r="F120" s="132"/>
      <c r="G120" s="669"/>
      <c r="H120" s="672"/>
      <c r="I120" s="86"/>
      <c r="J120" s="670"/>
      <c r="K120" s="117"/>
      <c r="L120" s="163"/>
      <c r="M120" s="296"/>
      <c r="N120" s="132"/>
      <c r="O120" s="115"/>
      <c r="P120" s="612"/>
      <c r="Q120" s="133"/>
      <c r="R120" s="126"/>
      <c r="S120" s="188"/>
    </row>
    <row r="121" spans="1:23" s="5" customFormat="1" ht="15" customHeight="1">
      <c r="B121" s="290"/>
      <c r="C121" s="826"/>
      <c r="D121" s="722"/>
      <c r="E121" s="673" t="s">
        <v>107</v>
      </c>
      <c r="F121" s="89" t="s">
        <v>21</v>
      </c>
      <c r="G121" s="288">
        <f>G6*1000000*122%</f>
        <v>1317600</v>
      </c>
      <c r="H121" s="580">
        <v>1</v>
      </c>
      <c r="I121" s="86">
        <f>G121*H121</f>
        <v>1317600</v>
      </c>
      <c r="J121" s="97">
        <v>0</v>
      </c>
      <c r="K121" s="97">
        <f>I121+J121</f>
        <v>1317600</v>
      </c>
      <c r="L121" s="163"/>
      <c r="M121" s="296"/>
      <c r="N121" s="86"/>
      <c r="O121" s="86">
        <f>I121*0.5</f>
        <v>658800</v>
      </c>
      <c r="P121" s="86">
        <f>I121-O121</f>
        <v>658800</v>
      </c>
      <c r="Q121" s="87"/>
      <c r="R121" s="22"/>
      <c r="S121" s="185"/>
    </row>
    <row r="122" spans="1:23" s="5" customFormat="1">
      <c r="B122" s="294"/>
      <c r="C122" s="807"/>
      <c r="D122" s="719" t="s">
        <v>429</v>
      </c>
      <c r="E122" s="857" t="s">
        <v>386</v>
      </c>
      <c r="F122" s="879"/>
      <c r="G122" s="854"/>
      <c r="H122" s="855"/>
      <c r="I122" s="865"/>
      <c r="J122" s="608"/>
      <c r="K122" s="609"/>
      <c r="L122" s="163"/>
      <c r="M122" s="296"/>
      <c r="N122" s="594"/>
      <c r="O122" s="100"/>
      <c r="P122" s="619"/>
      <c r="Q122" s="103"/>
      <c r="R122" s="55"/>
      <c r="S122" s="185"/>
    </row>
    <row r="123" spans="1:23" s="5" customFormat="1">
      <c r="B123" s="294"/>
      <c r="C123" s="807"/>
      <c r="D123" s="722"/>
      <c r="E123" s="859"/>
      <c r="F123" s="881"/>
      <c r="G123" s="850"/>
      <c r="H123" s="851"/>
      <c r="I123" s="852"/>
      <c r="J123" s="616">
        <v>0</v>
      </c>
      <c r="K123" s="616">
        <f>J123</f>
        <v>0</v>
      </c>
      <c r="L123" s="163"/>
      <c r="M123" s="296"/>
      <c r="N123" s="594"/>
      <c r="O123" s="100"/>
      <c r="P123" s="619"/>
      <c r="Q123" s="103"/>
      <c r="R123" s="55"/>
      <c r="S123" s="185"/>
    </row>
    <row r="124" spans="1:23" s="121" customFormat="1" ht="15" customHeight="1">
      <c r="B124" s="294"/>
      <c r="C124" s="826"/>
      <c r="D124" s="719" t="s">
        <v>430</v>
      </c>
      <c r="E124" s="122" t="s">
        <v>122</v>
      </c>
      <c r="F124" s="132"/>
      <c r="G124" s="669"/>
      <c r="H124" s="672"/>
      <c r="I124" s="86"/>
      <c r="J124" s="670"/>
      <c r="K124" s="117"/>
      <c r="L124" s="163"/>
      <c r="M124" s="296"/>
      <c r="N124" s="594"/>
      <c r="O124" s="100"/>
      <c r="P124" s="619"/>
      <c r="Q124" s="133"/>
      <c r="R124" s="126"/>
      <c r="S124" s="188"/>
    </row>
    <row r="125" spans="1:23" s="5" customFormat="1" ht="15" customHeight="1">
      <c r="B125" s="290"/>
      <c r="C125" s="826"/>
      <c r="D125" s="722"/>
      <c r="E125" s="23" t="s">
        <v>108</v>
      </c>
      <c r="F125" s="89" t="s">
        <v>109</v>
      </c>
      <c r="G125" s="288">
        <v>0</v>
      </c>
      <c r="H125" s="580">
        <v>1</v>
      </c>
      <c r="I125" s="86">
        <f>G125*H125</f>
        <v>0</v>
      </c>
      <c r="J125" s="86">
        <f>I125*21%</f>
        <v>0</v>
      </c>
      <c r="K125" s="86">
        <f>I125+J125</f>
        <v>0</v>
      </c>
      <c r="L125" s="163"/>
      <c r="M125" s="296"/>
      <c r="N125" s="594"/>
      <c r="O125" s="100"/>
      <c r="P125" s="619"/>
      <c r="Q125" s="87"/>
      <c r="R125" s="22"/>
      <c r="S125" s="185"/>
    </row>
    <row r="126" spans="1:23" s="5" customFormat="1" ht="15" customHeight="1">
      <c r="B126" s="290"/>
      <c r="C126" s="826"/>
      <c r="D126" s="722"/>
      <c r="E126" s="673" t="s">
        <v>323</v>
      </c>
      <c r="F126" s="89" t="s">
        <v>21</v>
      </c>
      <c r="G126" s="288">
        <f>G6*2000000*122%</f>
        <v>2635200</v>
      </c>
      <c r="H126" s="580">
        <v>1</v>
      </c>
      <c r="I126" s="86">
        <f>H126*G126</f>
        <v>2635200</v>
      </c>
      <c r="J126" s="86">
        <f>I126*21%</f>
        <v>553392</v>
      </c>
      <c r="K126" s="86">
        <f>I126+J126</f>
        <v>3188592</v>
      </c>
      <c r="L126" s="163"/>
      <c r="M126" s="296"/>
      <c r="N126" s="86">
        <f>I126*0.8</f>
        <v>2108160</v>
      </c>
      <c r="O126" s="86">
        <f>I126*0.2</f>
        <v>527040</v>
      </c>
      <c r="P126" s="86"/>
      <c r="Q126" s="87"/>
      <c r="R126" s="22"/>
      <c r="S126" s="185"/>
    </row>
    <row r="127" spans="1:23" s="67" customFormat="1" ht="15" customHeight="1">
      <c r="A127" s="63"/>
      <c r="B127" s="295"/>
      <c r="C127" s="813">
        <f>SUM(C111:C126)</f>
        <v>0</v>
      </c>
      <c r="D127" s="723"/>
      <c r="E127" s="98"/>
      <c r="F127" s="92"/>
      <c r="G127" s="1041" t="s">
        <v>110</v>
      </c>
      <c r="H127" s="1041"/>
      <c r="I127" s="380">
        <f>SUM(I111:I126)</f>
        <v>33203520</v>
      </c>
      <c r="J127" s="93">
        <f>SUM(J111:J126)</f>
        <v>6696043.2000000002</v>
      </c>
      <c r="K127" s="93">
        <f>SUM(K111:K126)</f>
        <v>39899563.200000003</v>
      </c>
      <c r="L127" s="165"/>
      <c r="M127" s="296"/>
      <c r="N127" s="94">
        <f>SUM(N111:N126)</f>
        <v>25508736</v>
      </c>
      <c r="O127" s="95">
        <f>SUM(O111:O126)</f>
        <v>7035984</v>
      </c>
      <c r="P127" s="96">
        <f>SUM(P111:P126)</f>
        <v>658800</v>
      </c>
      <c r="Q127" s="379">
        <f>SUM(N127:P127)</f>
        <v>33203520</v>
      </c>
      <c r="R127" s="66"/>
      <c r="S127" s="186"/>
      <c r="W127" s="1"/>
    </row>
    <row r="128" spans="1:23" ht="30" customHeight="1">
      <c r="A128" s="5"/>
      <c r="B128" s="290"/>
      <c r="C128" s="807"/>
      <c r="E128" s="69"/>
      <c r="F128" s="8"/>
      <c r="G128" s="70"/>
      <c r="H128" s="7"/>
      <c r="I128" s="9"/>
      <c r="J128" s="9"/>
      <c r="K128" s="181"/>
      <c r="L128" s="163"/>
      <c r="M128" s="296"/>
      <c r="N128" s="71"/>
      <c r="O128" s="71"/>
      <c r="P128" s="71"/>
      <c r="Q128" s="72"/>
      <c r="R128" s="22"/>
      <c r="S128" s="185"/>
    </row>
    <row r="129" spans="1:23" s="67" customFormat="1" ht="15" customHeight="1">
      <c r="A129" s="63"/>
      <c r="B129" s="293"/>
      <c r="C129" s="811"/>
      <c r="D129" s="755">
        <v>8</v>
      </c>
      <c r="E129" s="45" t="s">
        <v>111</v>
      </c>
      <c r="F129" s="269" t="s">
        <v>18</v>
      </c>
      <c r="G129" s="390" t="s">
        <v>19</v>
      </c>
      <c r="H129" s="366" t="s">
        <v>20</v>
      </c>
      <c r="I129" s="382" t="s">
        <v>9</v>
      </c>
      <c r="J129" s="270" t="s">
        <v>10</v>
      </c>
      <c r="K129" s="270" t="s">
        <v>11</v>
      </c>
      <c r="L129" s="165"/>
      <c r="M129" s="296"/>
      <c r="N129" s="83" t="s">
        <v>12</v>
      </c>
      <c r="O129" s="83" t="s">
        <v>13</v>
      </c>
      <c r="P129" s="83" t="s">
        <v>14</v>
      </c>
      <c r="Q129" s="378" t="s">
        <v>9</v>
      </c>
      <c r="R129" s="82"/>
      <c r="S129" s="186"/>
      <c r="W129" s="1"/>
    </row>
    <row r="130" spans="1:23" s="5" customFormat="1" ht="15" customHeight="1">
      <c r="B130" s="290"/>
      <c r="C130" s="827"/>
      <c r="D130" s="719" t="s">
        <v>431</v>
      </c>
      <c r="E130" s="122" t="s">
        <v>723</v>
      </c>
      <c r="F130" s="542"/>
      <c r="G130" s="601"/>
      <c r="H130" s="606"/>
      <c r="I130" s="674"/>
      <c r="J130" s="608"/>
      <c r="K130" s="609"/>
      <c r="L130" s="163"/>
      <c r="M130" s="296"/>
      <c r="N130" s="132"/>
      <c r="O130" s="115"/>
      <c r="P130" s="612"/>
      <c r="Q130" s="87"/>
      <c r="R130" s="22"/>
      <c r="S130" s="185"/>
    </row>
    <row r="131" spans="1:23" s="5" customFormat="1">
      <c r="B131" s="294"/>
      <c r="C131" s="807"/>
      <c r="D131" s="722"/>
      <c r="E131" s="559"/>
      <c r="F131" s="477" t="s">
        <v>21</v>
      </c>
      <c r="G131" s="288">
        <f>($G$6*1800000)/4*122%</f>
        <v>592920</v>
      </c>
      <c r="H131" s="580">
        <v>1</v>
      </c>
      <c r="I131" s="86">
        <f>G131*H131</f>
        <v>592920</v>
      </c>
      <c r="J131" s="86">
        <f>I131*21%</f>
        <v>124513.2</v>
      </c>
      <c r="K131" s="618">
        <f>I131+J131</f>
        <v>717433.2</v>
      </c>
      <c r="L131" s="163"/>
      <c r="M131" s="296"/>
      <c r="N131" s="86">
        <f>I131*80%</f>
        <v>474336</v>
      </c>
      <c r="O131" s="86">
        <f>I131*20%</f>
        <v>118584</v>
      </c>
      <c r="P131" s="86"/>
      <c r="Q131" s="103"/>
      <c r="R131" s="55"/>
      <c r="S131" s="185"/>
    </row>
    <row r="132" spans="1:23" s="5" customFormat="1" ht="15" customHeight="1">
      <c r="B132" s="290"/>
      <c r="C132" s="827"/>
      <c r="D132" s="719" t="s">
        <v>431</v>
      </c>
      <c r="E132" s="122" t="s">
        <v>724</v>
      </c>
      <c r="F132" s="535"/>
      <c r="G132" s="637"/>
      <c r="H132" s="638"/>
      <c r="I132" s="671"/>
      <c r="J132" s="608"/>
      <c r="K132" s="609"/>
      <c r="L132" s="163"/>
      <c r="M132" s="296"/>
      <c r="N132" s="132"/>
      <c r="O132" s="115"/>
      <c r="P132" s="612"/>
      <c r="Q132" s="87"/>
      <c r="R132" s="22"/>
      <c r="S132" s="185"/>
    </row>
    <row r="133" spans="1:23" s="5" customFormat="1">
      <c r="B133" s="294"/>
      <c r="C133" s="807"/>
      <c r="D133" s="722"/>
      <c r="E133" s="559"/>
      <c r="F133" s="477" t="s">
        <v>21</v>
      </c>
      <c r="G133" s="288">
        <f>($G$6*1800000)/4*122%</f>
        <v>592920</v>
      </c>
      <c r="H133" s="580">
        <v>1</v>
      </c>
      <c r="I133" s="86">
        <f>G133*H133</f>
        <v>592920</v>
      </c>
      <c r="J133" s="86">
        <f>I133*21%</f>
        <v>124513.2</v>
      </c>
      <c r="K133" s="618">
        <f>I133+J133</f>
        <v>717433.2</v>
      </c>
      <c r="L133" s="163"/>
      <c r="M133" s="296"/>
      <c r="N133" s="610"/>
      <c r="O133" s="86">
        <f>I133</f>
        <v>592920</v>
      </c>
      <c r="P133" s="86"/>
      <c r="Q133" s="103"/>
      <c r="R133" s="55"/>
      <c r="S133" s="185"/>
    </row>
    <row r="134" spans="1:23" s="121" customFormat="1" ht="15" customHeight="1">
      <c r="B134" s="294"/>
      <c r="C134" s="826"/>
      <c r="D134" s="719" t="s">
        <v>432</v>
      </c>
      <c r="E134" s="122" t="s">
        <v>725</v>
      </c>
      <c r="F134" s="535"/>
      <c r="G134" s="637"/>
      <c r="H134" s="638"/>
      <c r="I134" s="671"/>
      <c r="J134" s="608"/>
      <c r="K134" s="609"/>
      <c r="L134" s="163"/>
      <c r="M134" s="296"/>
      <c r="N134" s="132"/>
      <c r="O134" s="115"/>
      <c r="P134" s="612"/>
      <c r="Q134" s="133"/>
      <c r="R134" s="126"/>
      <c r="S134" s="188"/>
    </row>
    <row r="135" spans="1:23" s="5" customFormat="1" ht="15">
      <c r="B135" s="290"/>
      <c r="C135" s="827"/>
      <c r="D135" s="722"/>
      <c r="E135" s="785" t="s">
        <v>726</v>
      </c>
      <c r="F135" s="466" t="s">
        <v>33</v>
      </c>
      <c r="G135" s="288">
        <f>G6*550000*122%</f>
        <v>724680</v>
      </c>
      <c r="H135" s="580">
        <f>G4</f>
        <v>6</v>
      </c>
      <c r="I135" s="86">
        <f>+H135*G135</f>
        <v>4348080</v>
      </c>
      <c r="J135" s="86">
        <v>0</v>
      </c>
      <c r="K135" s="618">
        <f>I135+J135</f>
        <v>4348080</v>
      </c>
      <c r="L135" s="163"/>
      <c r="M135" s="296"/>
      <c r="N135" s="86"/>
      <c r="O135" s="86">
        <f>I135</f>
        <v>4348080</v>
      </c>
      <c r="P135" s="86"/>
      <c r="Q135" s="87"/>
      <c r="R135" s="22"/>
      <c r="S135" s="185"/>
    </row>
    <row r="136" spans="1:23" s="5" customFormat="1">
      <c r="B136" s="294"/>
      <c r="C136" s="807"/>
      <c r="D136" s="719" t="s">
        <v>433</v>
      </c>
      <c r="E136" s="560" t="s">
        <v>387</v>
      </c>
      <c r="F136" s="535"/>
      <c r="G136" s="637"/>
      <c r="H136" s="638"/>
      <c r="I136" s="671"/>
      <c r="J136" s="608"/>
      <c r="K136" s="609"/>
      <c r="L136" s="163"/>
      <c r="M136" s="296"/>
      <c r="N136" s="594"/>
      <c r="O136" s="100"/>
      <c r="P136" s="619"/>
      <c r="Q136" s="103"/>
      <c r="R136" s="55"/>
      <c r="S136" s="185"/>
    </row>
    <row r="137" spans="1:23" s="5" customFormat="1">
      <c r="B137" s="294"/>
      <c r="C137" s="807"/>
      <c r="D137" s="722"/>
      <c r="E137" s="271"/>
      <c r="F137" s="477" t="s">
        <v>21</v>
      </c>
      <c r="G137" s="288">
        <f>($G$6*1800000)/4*122%</f>
        <v>592920</v>
      </c>
      <c r="H137" s="580">
        <v>1</v>
      </c>
      <c r="I137" s="86">
        <f>G137*H137</f>
        <v>592920</v>
      </c>
      <c r="J137" s="86">
        <f>I137*21%</f>
        <v>124513.2</v>
      </c>
      <c r="K137" s="618">
        <f>I137+J137</f>
        <v>717433.2</v>
      </c>
      <c r="L137" s="163"/>
      <c r="M137" s="296"/>
      <c r="N137" s="86"/>
      <c r="O137" s="86">
        <f>I137</f>
        <v>592920</v>
      </c>
      <c r="P137" s="86"/>
      <c r="Q137" s="103"/>
      <c r="R137" s="55"/>
      <c r="S137" s="185"/>
    </row>
    <row r="138" spans="1:23" s="5" customFormat="1">
      <c r="B138" s="294"/>
      <c r="C138" s="807"/>
      <c r="D138" s="719" t="s">
        <v>434</v>
      </c>
      <c r="E138" s="560" t="s">
        <v>388</v>
      </c>
      <c r="F138" s="535"/>
      <c r="G138" s="637"/>
      <c r="H138" s="638"/>
      <c r="I138" s="671"/>
      <c r="J138" s="608"/>
      <c r="K138" s="609"/>
      <c r="L138" s="163"/>
      <c r="M138" s="296"/>
      <c r="N138" s="594"/>
      <c r="O138" s="100"/>
      <c r="P138" s="619"/>
      <c r="Q138" s="103"/>
      <c r="R138" s="55"/>
      <c r="S138" s="185"/>
    </row>
    <row r="139" spans="1:23" s="5" customFormat="1">
      <c r="B139" s="294"/>
      <c r="C139" s="807"/>
      <c r="D139" s="722"/>
      <c r="E139" s="271"/>
      <c r="F139" s="477" t="s">
        <v>21</v>
      </c>
      <c r="G139" s="288">
        <f>($G$6*1800000)/4*122%</f>
        <v>592920</v>
      </c>
      <c r="H139" s="580">
        <v>1</v>
      </c>
      <c r="I139" s="86">
        <f>G139*H139</f>
        <v>592920</v>
      </c>
      <c r="J139" s="86">
        <f>I139*21%</f>
        <v>124513.2</v>
      </c>
      <c r="K139" s="618">
        <f>I139+J139</f>
        <v>717433.2</v>
      </c>
      <c r="L139" s="163"/>
      <c r="M139" s="296"/>
      <c r="N139" s="86"/>
      <c r="O139" s="86">
        <f>I139</f>
        <v>592920</v>
      </c>
      <c r="P139" s="86"/>
      <c r="Q139" s="103"/>
      <c r="R139" s="55"/>
      <c r="S139" s="185"/>
    </row>
    <row r="140" spans="1:23" s="5" customFormat="1" ht="15" customHeight="1">
      <c r="B140" s="290"/>
      <c r="C140" s="827"/>
      <c r="D140" s="719" t="s">
        <v>435</v>
      </c>
      <c r="E140" s="928" t="s">
        <v>236</v>
      </c>
      <c r="F140" s="853"/>
      <c r="G140" s="854"/>
      <c r="H140" s="855"/>
      <c r="I140" s="865"/>
      <c r="J140" s="608"/>
      <c r="K140" s="609"/>
      <c r="L140" s="163"/>
      <c r="M140" s="296"/>
      <c r="N140" s="594"/>
      <c r="O140" s="100"/>
      <c r="P140" s="619"/>
      <c r="Q140" s="87"/>
      <c r="R140" s="22"/>
      <c r="S140" s="185"/>
    </row>
    <row r="141" spans="1:23" s="5" customFormat="1">
      <c r="B141" s="294"/>
      <c r="C141" s="807"/>
      <c r="D141" s="722"/>
      <c r="E141" s="848"/>
      <c r="F141" s="849"/>
      <c r="G141" s="850"/>
      <c r="H141" s="851"/>
      <c r="I141" s="852"/>
      <c r="J141" s="616">
        <v>0</v>
      </c>
      <c r="K141" s="616">
        <f>J141</f>
        <v>0</v>
      </c>
      <c r="L141" s="163"/>
      <c r="M141" s="296"/>
      <c r="N141" s="86"/>
      <c r="O141" s="86">
        <f>I141</f>
        <v>0</v>
      </c>
      <c r="P141" s="86"/>
      <c r="Q141" s="103"/>
      <c r="R141" s="55"/>
      <c r="S141" s="185"/>
    </row>
    <row r="142" spans="1:23" s="67" customFormat="1" ht="15" customHeight="1">
      <c r="A142" s="63"/>
      <c r="B142" s="295"/>
      <c r="C142" s="813">
        <f>SUM(C130:C141)</f>
        <v>0</v>
      </c>
      <c r="D142" s="723"/>
      <c r="E142" s="98"/>
      <c r="F142" s="92"/>
      <c r="G142" s="1045" t="s">
        <v>113</v>
      </c>
      <c r="H142" s="1045"/>
      <c r="I142" s="383">
        <f>SUM(I130:I141)</f>
        <v>6719760</v>
      </c>
      <c r="J142" s="265">
        <f>SUM(J130:J140)</f>
        <v>498052.8</v>
      </c>
      <c r="K142" s="265">
        <f>SUM(K130:K141)</f>
        <v>7217812.8000000007</v>
      </c>
      <c r="L142" s="165"/>
      <c r="M142" s="296"/>
      <c r="N142" s="94">
        <f>SUM(N130:N141)</f>
        <v>474336</v>
      </c>
      <c r="O142" s="95">
        <f>SUM(O130:O141)</f>
        <v>6245424</v>
      </c>
      <c r="P142" s="96">
        <f>SUM(P130:P140)</f>
        <v>0</v>
      </c>
      <c r="Q142" s="379">
        <f>SUM(N142:P142)</f>
        <v>6719760</v>
      </c>
      <c r="R142" s="66"/>
      <c r="S142" s="186"/>
      <c r="W142" s="1"/>
    </row>
    <row r="143" spans="1:23" ht="30" customHeight="1">
      <c r="A143" s="5"/>
      <c r="B143" s="290"/>
      <c r="C143" s="807"/>
      <c r="E143" s="69"/>
      <c r="F143" s="8"/>
      <c r="G143" s="70"/>
      <c r="H143" s="70"/>
      <c r="I143" s="70"/>
      <c r="J143" s="9"/>
      <c r="K143" s="9"/>
      <c r="L143" s="163"/>
      <c r="M143" s="296"/>
      <c r="N143" s="71"/>
      <c r="O143" s="71"/>
      <c r="P143" s="71"/>
      <c r="Q143" s="72"/>
      <c r="R143" s="22"/>
      <c r="S143" s="185"/>
    </row>
    <row r="144" spans="1:23" s="67" customFormat="1" ht="15" customHeight="1">
      <c r="A144" s="63"/>
      <c r="B144" s="293"/>
      <c r="C144" s="811"/>
      <c r="D144" s="755">
        <v>9</v>
      </c>
      <c r="E144" s="45" t="s">
        <v>114</v>
      </c>
      <c r="F144" s="78" t="s">
        <v>18</v>
      </c>
      <c r="G144" s="389" t="s">
        <v>19</v>
      </c>
      <c r="H144" s="364" t="s">
        <v>20</v>
      </c>
      <c r="I144" s="381" t="s">
        <v>9</v>
      </c>
      <c r="J144" s="81" t="s">
        <v>10</v>
      </c>
      <c r="K144" s="81" t="s">
        <v>11</v>
      </c>
      <c r="L144" s="165"/>
      <c r="M144" s="296"/>
      <c r="N144" s="83" t="s">
        <v>12</v>
      </c>
      <c r="O144" s="83" t="s">
        <v>13</v>
      </c>
      <c r="P144" s="83" t="s">
        <v>14</v>
      </c>
      <c r="Q144" s="378" t="s">
        <v>9</v>
      </c>
      <c r="R144" s="82"/>
      <c r="S144" s="186"/>
      <c r="W144" s="1"/>
    </row>
    <row r="145" spans="1:23" s="5" customFormat="1" ht="15" customHeight="1">
      <c r="B145" s="290"/>
      <c r="C145" s="807"/>
      <c r="D145" s="719" t="s">
        <v>437</v>
      </c>
      <c r="E145" s="106" t="s">
        <v>436</v>
      </c>
      <c r="F145" s="523"/>
      <c r="G145" s="537"/>
      <c r="H145" s="669"/>
      <c r="I145" s="115"/>
      <c r="J145" s="115"/>
      <c r="K145" s="112"/>
      <c r="L145" s="163"/>
      <c r="M145" s="296"/>
      <c r="N145" s="594"/>
      <c r="O145" s="100"/>
      <c r="P145" s="619"/>
      <c r="Q145" s="87"/>
      <c r="R145" s="22"/>
      <c r="S145" s="185"/>
    </row>
    <row r="146" spans="1:23" s="5" customFormat="1">
      <c r="B146" s="294"/>
      <c r="C146" s="807"/>
      <c r="D146" s="722"/>
      <c r="E146" s="558"/>
      <c r="F146" s="89" t="s">
        <v>21</v>
      </c>
      <c r="G146" s="288">
        <f>G6*18000000*122%</f>
        <v>23716800</v>
      </c>
      <c r="H146" s="580">
        <v>1</v>
      </c>
      <c r="I146" s="86">
        <f>G146*H146</f>
        <v>23716800</v>
      </c>
      <c r="J146" s="86">
        <f>I146*21%</f>
        <v>4980528</v>
      </c>
      <c r="K146" s="86">
        <f>I146+J146</f>
        <v>28697328</v>
      </c>
      <c r="L146" s="163"/>
      <c r="M146" s="296"/>
      <c r="N146" s="86">
        <f>I146*50%</f>
        <v>11858400</v>
      </c>
      <c r="O146" s="86">
        <f>I146*50%</f>
        <v>11858400</v>
      </c>
      <c r="P146" s="86"/>
      <c r="Q146" s="103"/>
      <c r="R146" s="55"/>
      <c r="S146" s="185"/>
    </row>
    <row r="147" spans="1:23" s="5" customFormat="1">
      <c r="B147" s="294"/>
      <c r="C147" s="807"/>
      <c r="D147" s="719" t="s">
        <v>438</v>
      </c>
      <c r="E147" s="538" t="s">
        <v>461</v>
      </c>
      <c r="F147" s="519"/>
      <c r="G147" s="637"/>
      <c r="H147" s="638"/>
      <c r="I147" s="671"/>
      <c r="J147" s="608"/>
      <c r="K147" s="609"/>
      <c r="L147" s="163"/>
      <c r="M147" s="296"/>
      <c r="N147" s="594"/>
      <c r="O147" s="100"/>
      <c r="P147" s="619"/>
      <c r="Q147" s="103"/>
      <c r="R147" s="55"/>
      <c r="S147" s="185"/>
    </row>
    <row r="148" spans="1:23" s="5" customFormat="1">
      <c r="B148" s="294"/>
      <c r="C148" s="807"/>
      <c r="D148" s="722"/>
      <c r="E148" s="539"/>
      <c r="F148" s="541"/>
      <c r="G148" s="613"/>
      <c r="H148" s="614"/>
      <c r="I148" s="602"/>
      <c r="J148" s="616">
        <v>0</v>
      </c>
      <c r="K148" s="616">
        <f>J148</f>
        <v>0</v>
      </c>
      <c r="L148" s="163"/>
      <c r="M148" s="296"/>
      <c r="N148" s="86">
        <f>I148*50%</f>
        <v>0</v>
      </c>
      <c r="O148" s="86">
        <f>I148*50%</f>
        <v>0</v>
      </c>
      <c r="P148" s="86"/>
      <c r="Q148" s="103"/>
      <c r="R148" s="55"/>
      <c r="S148" s="185"/>
    </row>
    <row r="149" spans="1:23" s="5" customFormat="1">
      <c r="B149" s="294"/>
      <c r="C149" s="807"/>
      <c r="D149" s="719" t="s">
        <v>439</v>
      </c>
      <c r="E149" s="538" t="s">
        <v>462</v>
      </c>
      <c r="F149" s="519"/>
      <c r="G149" s="637"/>
      <c r="H149" s="638"/>
      <c r="I149" s="671"/>
      <c r="J149" s="608"/>
      <c r="K149" s="609"/>
      <c r="L149" s="163"/>
      <c r="M149" s="296"/>
      <c r="N149" s="594"/>
      <c r="O149" s="100"/>
      <c r="P149" s="619"/>
      <c r="Q149" s="103"/>
      <c r="R149" s="55"/>
      <c r="S149" s="185"/>
    </row>
    <row r="150" spans="1:23" s="5" customFormat="1">
      <c r="B150" s="294"/>
      <c r="C150" s="807"/>
      <c r="D150" s="722"/>
      <c r="E150" s="539"/>
      <c r="F150" s="89" t="s">
        <v>21</v>
      </c>
      <c r="G150" s="288">
        <f>G6*12000000*122%</f>
        <v>15811200</v>
      </c>
      <c r="H150" s="580">
        <v>1</v>
      </c>
      <c r="I150" s="86">
        <f>G150*H150</f>
        <v>15811200</v>
      </c>
      <c r="J150" s="86">
        <f>I150*21%</f>
        <v>3320352</v>
      </c>
      <c r="K150" s="86">
        <f>I150+J150</f>
        <v>19131552</v>
      </c>
      <c r="L150" s="163"/>
      <c r="M150" s="296"/>
      <c r="N150" s="86">
        <f>I150*0.8</f>
        <v>12648960</v>
      </c>
      <c r="O150" s="86">
        <f>I150*0.2</f>
        <v>3162240</v>
      </c>
      <c r="P150" s="86"/>
      <c r="Q150" s="103"/>
      <c r="R150" s="55"/>
      <c r="S150" s="185"/>
    </row>
    <row r="151" spans="1:23" s="5" customFormat="1" ht="15" customHeight="1">
      <c r="B151" s="290"/>
      <c r="C151" s="807"/>
      <c r="D151" s="719" t="s">
        <v>440</v>
      </c>
      <c r="E151" s="566" t="s">
        <v>311</v>
      </c>
      <c r="F151" s="523"/>
      <c r="G151" s="537"/>
      <c r="H151" s="669"/>
      <c r="I151" s="115"/>
      <c r="J151" s="115"/>
      <c r="K151" s="112"/>
      <c r="L151" s="163"/>
      <c r="M151" s="296"/>
      <c r="N151" s="594"/>
      <c r="O151" s="100"/>
      <c r="P151" s="619"/>
      <c r="Q151" s="87"/>
      <c r="R151" s="22"/>
      <c r="S151" s="185"/>
    </row>
    <row r="152" spans="1:23" s="5" customFormat="1">
      <c r="B152" s="294"/>
      <c r="C152" s="807"/>
      <c r="D152" s="722"/>
      <c r="E152" s="539"/>
      <c r="F152" s="89"/>
      <c r="G152" s="288"/>
      <c r="H152" s="580">
        <v>1</v>
      </c>
      <c r="I152" s="86">
        <f>G152*H152</f>
        <v>0</v>
      </c>
      <c r="J152" s="86">
        <f>I152*21%</f>
        <v>0</v>
      </c>
      <c r="K152" s="86">
        <f>I152+J152</f>
        <v>0</v>
      </c>
      <c r="L152" s="163"/>
      <c r="M152" s="296"/>
      <c r="N152" s="86">
        <f>I152*0.8</f>
        <v>0</v>
      </c>
      <c r="O152" s="86">
        <f>I152*0.2</f>
        <v>0</v>
      </c>
      <c r="P152" s="86"/>
      <c r="Q152" s="87"/>
      <c r="R152" s="55"/>
      <c r="S152" s="185"/>
    </row>
    <row r="153" spans="1:23" s="67" customFormat="1" ht="15" customHeight="1">
      <c r="A153" s="63"/>
      <c r="B153" s="295"/>
      <c r="C153" s="813">
        <f>SUM(C145:C152)</f>
        <v>0</v>
      </c>
      <c r="D153" s="723"/>
      <c r="E153" s="98"/>
      <c r="F153" s="92"/>
      <c r="G153" s="1041" t="s">
        <v>115</v>
      </c>
      <c r="H153" s="1041"/>
      <c r="I153" s="380">
        <f>SUM(I145:I152)</f>
        <v>39528000</v>
      </c>
      <c r="J153" s="93">
        <f>SUM(J145:J152)</f>
        <v>8300880</v>
      </c>
      <c r="K153" s="93">
        <f>SUM(K145:K152)</f>
        <v>47828880</v>
      </c>
      <c r="L153" s="165"/>
      <c r="M153" s="296"/>
      <c r="N153" s="94">
        <f>SUM(N145:N152)</f>
        <v>24507360</v>
      </c>
      <c r="O153" s="95">
        <f>SUM(O145:O152)</f>
        <v>15020640</v>
      </c>
      <c r="P153" s="96">
        <f>SUM(P145:P152)</f>
        <v>0</v>
      </c>
      <c r="Q153" s="379">
        <f>SUM(N153:P153)</f>
        <v>39528000</v>
      </c>
      <c r="R153" s="66"/>
      <c r="S153" s="186"/>
      <c r="W153" s="1"/>
    </row>
    <row r="154" spans="1:23" ht="30" customHeight="1">
      <c r="A154" s="5"/>
      <c r="B154" s="290"/>
      <c r="C154" s="807"/>
      <c r="E154" s="69"/>
      <c r="F154" s="8"/>
      <c r="G154" s="70"/>
      <c r="I154" s="70"/>
      <c r="J154" s="9"/>
      <c r="K154" s="9"/>
      <c r="L154" s="163"/>
      <c r="M154" s="296"/>
      <c r="N154" s="71"/>
      <c r="O154" s="71"/>
      <c r="P154" s="71"/>
      <c r="Q154" s="72"/>
      <c r="R154" s="22"/>
      <c r="S154" s="185"/>
    </row>
    <row r="155" spans="1:23" s="67" customFormat="1" ht="15" customHeight="1">
      <c r="A155" s="63"/>
      <c r="B155" s="293"/>
      <c r="C155" s="811"/>
      <c r="D155" s="755">
        <v>10</v>
      </c>
      <c r="E155" s="45" t="s">
        <v>116</v>
      </c>
      <c r="F155" s="78" t="s">
        <v>18</v>
      </c>
      <c r="G155" s="389" t="s">
        <v>19</v>
      </c>
      <c r="H155" s="364" t="s">
        <v>20</v>
      </c>
      <c r="I155" s="381" t="s">
        <v>9</v>
      </c>
      <c r="J155" s="81" t="s">
        <v>10</v>
      </c>
      <c r="K155" s="81" t="s">
        <v>11</v>
      </c>
      <c r="L155" s="165"/>
      <c r="M155" s="296"/>
      <c r="N155" s="83" t="s">
        <v>12</v>
      </c>
      <c r="O155" s="83" t="s">
        <v>13</v>
      </c>
      <c r="P155" s="83" t="s">
        <v>14</v>
      </c>
      <c r="Q155" s="378" t="s">
        <v>9</v>
      </c>
      <c r="R155" s="82"/>
      <c r="S155" s="186"/>
      <c r="W155" s="1"/>
    </row>
    <row r="156" spans="1:23" s="5" customFormat="1" ht="15" customHeight="1">
      <c r="B156" s="290"/>
      <c r="C156" s="807"/>
      <c r="D156" s="719" t="s">
        <v>443</v>
      </c>
      <c r="E156" s="106" t="s">
        <v>112</v>
      </c>
      <c r="F156" s="523"/>
      <c r="G156" s="537"/>
      <c r="H156" s="669"/>
      <c r="I156" s="115"/>
      <c r="J156" s="115"/>
      <c r="K156" s="112"/>
      <c r="L156" s="163"/>
      <c r="M156" s="296"/>
      <c r="N156" s="86"/>
      <c r="O156" s="86"/>
      <c r="P156" s="86"/>
      <c r="Q156" s="87"/>
      <c r="R156" s="22"/>
      <c r="S156" s="185"/>
    </row>
    <row r="157" spans="1:23" s="5" customFormat="1">
      <c r="B157" s="294"/>
      <c r="C157" s="807"/>
      <c r="D157" s="722"/>
      <c r="E157" s="567"/>
      <c r="F157" s="89" t="s">
        <v>21</v>
      </c>
      <c r="G157" s="288">
        <f>G6*32000000*122%</f>
        <v>42163200</v>
      </c>
      <c r="H157" s="580">
        <v>1</v>
      </c>
      <c r="I157" s="86">
        <f>G157*H157</f>
        <v>42163200</v>
      </c>
      <c r="J157" s="86">
        <f>I157*21%</f>
        <v>8854272</v>
      </c>
      <c r="K157" s="86">
        <f>I157+J157</f>
        <v>51017472</v>
      </c>
      <c r="L157" s="163"/>
      <c r="M157" s="296"/>
      <c r="N157" s="86">
        <f>I157*0.7</f>
        <v>29514239.999999996</v>
      </c>
      <c r="O157" s="86">
        <f>I157*0.3</f>
        <v>12648960</v>
      </c>
      <c r="P157" s="86"/>
      <c r="Q157" s="103"/>
      <c r="R157" s="55"/>
      <c r="S157" s="185"/>
    </row>
    <row r="158" spans="1:23" s="5" customFormat="1" ht="15" customHeight="1">
      <c r="B158" s="290"/>
      <c r="C158" s="807"/>
      <c r="D158" s="719" t="s">
        <v>444</v>
      </c>
      <c r="E158" s="106" t="s">
        <v>267</v>
      </c>
      <c r="F158" s="523"/>
      <c r="G158" s="537"/>
      <c r="H158" s="669"/>
      <c r="I158" s="115"/>
      <c r="J158" s="115"/>
      <c r="K158" s="112"/>
      <c r="L158" s="163"/>
      <c r="M158" s="296"/>
      <c r="N158" s="86"/>
      <c r="O158" s="86"/>
      <c r="P158" s="86"/>
      <c r="Q158" s="87"/>
      <c r="R158" s="22"/>
      <c r="S158" s="185"/>
    </row>
    <row r="159" spans="1:23" s="5" customFormat="1">
      <c r="B159" s="294"/>
      <c r="C159" s="807"/>
      <c r="D159" s="722"/>
      <c r="E159" s="567"/>
      <c r="F159" s="89" t="s">
        <v>21</v>
      </c>
      <c r="G159" s="288">
        <f>G6*35000000*122%</f>
        <v>46116000</v>
      </c>
      <c r="H159" s="580">
        <v>1</v>
      </c>
      <c r="I159" s="86">
        <f>G159*H159</f>
        <v>46116000</v>
      </c>
      <c r="J159" s="86">
        <f>I159*21%</f>
        <v>9684360</v>
      </c>
      <c r="K159" s="86">
        <f>I159+J159</f>
        <v>55800360</v>
      </c>
      <c r="L159" s="163"/>
      <c r="M159" s="296"/>
      <c r="N159" s="86">
        <f>I159*0.7</f>
        <v>32281199.999999996</v>
      </c>
      <c r="O159" s="86">
        <f>I159*0.3</f>
        <v>13834800</v>
      </c>
      <c r="P159" s="86"/>
      <c r="Q159" s="103"/>
      <c r="R159" s="55"/>
      <c r="S159" s="185"/>
    </row>
    <row r="160" spans="1:23" s="5" customFormat="1">
      <c r="B160" s="294"/>
      <c r="C160" s="807"/>
      <c r="D160" s="719" t="s">
        <v>445</v>
      </c>
      <c r="E160" s="540" t="s">
        <v>446</v>
      </c>
      <c r="F160" s="523"/>
      <c r="G160" s="537"/>
      <c r="H160" s="669"/>
      <c r="I160" s="115"/>
      <c r="J160" s="115"/>
      <c r="K160" s="112"/>
      <c r="L160" s="163"/>
      <c r="M160" s="296"/>
      <c r="N160" s="594"/>
      <c r="O160" s="100"/>
      <c r="P160" s="619"/>
      <c r="Q160" s="103"/>
      <c r="R160" s="55"/>
      <c r="S160" s="185"/>
    </row>
    <row r="161" spans="1:23" s="5" customFormat="1">
      <c r="B161" s="290"/>
      <c r="C161" s="807"/>
      <c r="D161" s="719"/>
      <c r="E161" s="23" t="s">
        <v>746</v>
      </c>
      <c r="F161" s="89" t="s">
        <v>21</v>
      </c>
      <c r="G161" s="288">
        <f>G6*10000000*122%</f>
        <v>13176000</v>
      </c>
      <c r="H161" s="580">
        <v>1</v>
      </c>
      <c r="I161" s="86">
        <f>G161*H161</f>
        <v>13176000</v>
      </c>
      <c r="J161" s="86">
        <f>I161*21%</f>
        <v>2766960</v>
      </c>
      <c r="K161" s="86">
        <f>I161+J161</f>
        <v>15942960</v>
      </c>
      <c r="L161" s="163"/>
      <c r="M161" s="296"/>
      <c r="N161" s="86">
        <f>I161*0.7</f>
        <v>9223200</v>
      </c>
      <c r="O161" s="86">
        <f>I161*0.3</f>
        <v>3952800</v>
      </c>
      <c r="P161" s="86"/>
      <c r="Q161" s="87"/>
      <c r="R161" s="22"/>
      <c r="S161" s="185"/>
    </row>
    <row r="162" spans="1:23" s="5" customFormat="1">
      <c r="B162" s="294"/>
      <c r="C162" s="807"/>
      <c r="D162" s="719" t="s">
        <v>448</v>
      </c>
      <c r="E162" s="538" t="s">
        <v>447</v>
      </c>
      <c r="F162" s="523"/>
      <c r="G162" s="537"/>
      <c r="H162" s="669"/>
      <c r="I162" s="115"/>
      <c r="J162" s="115"/>
      <c r="K162" s="112"/>
      <c r="L162" s="163"/>
      <c r="M162" s="296"/>
      <c r="N162" s="594"/>
      <c r="O162" s="100"/>
      <c r="P162" s="619"/>
      <c r="Q162" s="103"/>
      <c r="R162" s="55"/>
      <c r="S162" s="185"/>
    </row>
    <row r="163" spans="1:23" s="5" customFormat="1" ht="15" customHeight="1">
      <c r="B163" s="290"/>
      <c r="C163" s="807"/>
      <c r="D163" s="719"/>
      <c r="E163" s="23" t="s">
        <v>119</v>
      </c>
      <c r="F163" s="89" t="s">
        <v>35</v>
      </c>
      <c r="G163" s="288">
        <f>G6*350000*122%</f>
        <v>461160</v>
      </c>
      <c r="H163" s="580">
        <v>5</v>
      </c>
      <c r="I163" s="86">
        <f>+G163*H163</f>
        <v>2305800</v>
      </c>
      <c r="J163" s="97">
        <v>0</v>
      </c>
      <c r="K163" s="97">
        <f>I163+J163</f>
        <v>2305800</v>
      </c>
      <c r="L163" s="163"/>
      <c r="M163" s="296"/>
      <c r="N163" s="86">
        <f>I163*30%</f>
        <v>691740</v>
      </c>
      <c r="O163" s="86">
        <f>I163*70%</f>
        <v>1614060</v>
      </c>
      <c r="P163" s="86"/>
      <c r="Q163" s="103"/>
      <c r="R163" s="22"/>
      <c r="S163" s="185"/>
    </row>
    <row r="164" spans="1:23" s="5" customFormat="1" ht="15" customHeight="1">
      <c r="B164" s="290"/>
      <c r="C164" s="807"/>
      <c r="D164" s="719"/>
      <c r="E164" s="23" t="s">
        <v>120</v>
      </c>
      <c r="F164" s="89" t="s">
        <v>35</v>
      </c>
      <c r="G164" s="288">
        <f>G6*250000*122%</f>
        <v>329400</v>
      </c>
      <c r="H164" s="580">
        <v>3</v>
      </c>
      <c r="I164" s="86">
        <f>+G164*H164</f>
        <v>988200</v>
      </c>
      <c r="J164" s="97">
        <v>0</v>
      </c>
      <c r="K164" s="97">
        <f>I164+J164</f>
        <v>988200</v>
      </c>
      <c r="L164" s="163"/>
      <c r="M164" s="296"/>
      <c r="N164" s="86">
        <f>I164*30%</f>
        <v>296460</v>
      </c>
      <c r="O164" s="86">
        <f>I164*70%</f>
        <v>691740</v>
      </c>
      <c r="P164" s="86"/>
      <c r="Q164" s="103"/>
      <c r="R164" s="22"/>
      <c r="S164" s="185"/>
    </row>
    <row r="165" spans="1:23" s="5" customFormat="1" ht="15" customHeight="1">
      <c r="B165" s="290"/>
      <c r="C165" s="807"/>
      <c r="D165" s="719"/>
      <c r="E165" s="23" t="s">
        <v>121</v>
      </c>
      <c r="F165" s="89" t="s">
        <v>21</v>
      </c>
      <c r="G165" s="288">
        <f>G6*100000*122%</f>
        <v>131760</v>
      </c>
      <c r="H165" s="580">
        <v>3</v>
      </c>
      <c r="I165" s="86">
        <f>+G165*H165</f>
        <v>395280</v>
      </c>
      <c r="J165" s="97">
        <v>0</v>
      </c>
      <c r="K165" s="97">
        <f>I165+J165</f>
        <v>395280</v>
      </c>
      <c r="L165" s="163"/>
      <c r="M165" s="296"/>
      <c r="N165" s="86"/>
      <c r="O165" s="86">
        <f>I165</f>
        <v>395280</v>
      </c>
      <c r="P165" s="86"/>
      <c r="Q165" s="103"/>
      <c r="R165" s="22"/>
      <c r="S165" s="185"/>
    </row>
    <row r="166" spans="1:23" s="5" customFormat="1" ht="15" customHeight="1">
      <c r="B166" s="290"/>
      <c r="C166" s="807"/>
      <c r="D166" s="719" t="s">
        <v>449</v>
      </c>
      <c r="E166" s="786" t="s">
        <v>122</v>
      </c>
      <c r="F166" s="523"/>
      <c r="G166" s="537"/>
      <c r="H166" s="669"/>
      <c r="I166" s="115"/>
      <c r="J166" s="115"/>
      <c r="K166" s="112"/>
      <c r="L166" s="163"/>
      <c r="M166" s="296"/>
      <c r="N166" s="594"/>
      <c r="O166" s="100"/>
      <c r="P166" s="619"/>
      <c r="Q166" s="87"/>
      <c r="R166" s="22"/>
      <c r="S166" s="185"/>
    </row>
    <row r="167" spans="1:23" s="5" customFormat="1">
      <c r="B167" s="294"/>
      <c r="C167" s="807"/>
      <c r="D167" s="722"/>
      <c r="E167" s="539"/>
      <c r="F167" s="89"/>
      <c r="G167" s="288"/>
      <c r="H167" s="580">
        <v>1</v>
      </c>
      <c r="I167" s="86">
        <f>G167*H167</f>
        <v>0</v>
      </c>
      <c r="J167" s="86">
        <f>I167*21%</f>
        <v>0</v>
      </c>
      <c r="K167" s="86">
        <f>I167+J167</f>
        <v>0</v>
      </c>
      <c r="L167" s="163"/>
      <c r="M167" s="296"/>
      <c r="N167" s="86">
        <f>I167*0.8</f>
        <v>0</v>
      </c>
      <c r="O167" s="86">
        <f>I167*0.2</f>
        <v>0</v>
      </c>
      <c r="P167" s="86"/>
      <c r="Q167" s="87"/>
      <c r="R167" s="55"/>
      <c r="S167" s="185"/>
    </row>
    <row r="168" spans="1:23" s="67" customFormat="1" ht="15" customHeight="1">
      <c r="A168" s="63"/>
      <c r="B168" s="295"/>
      <c r="C168" s="813">
        <f>SUM(C155:C161)</f>
        <v>0</v>
      </c>
      <c r="D168" s="723"/>
      <c r="E168" s="98"/>
      <c r="F168" s="92"/>
      <c r="G168" s="1041" t="s">
        <v>117</v>
      </c>
      <c r="H168" s="1041"/>
      <c r="I168" s="380">
        <f>SUM(I156:I167)</f>
        <v>105144480</v>
      </c>
      <c r="J168" s="93">
        <f>SUM(J156:J167)</f>
        <v>21305592</v>
      </c>
      <c r="K168" s="93">
        <f>SUM(K156:K167)</f>
        <v>126450072</v>
      </c>
      <c r="L168" s="165"/>
      <c r="M168" s="296"/>
      <c r="N168" s="93">
        <f>SUM(N156:N167)</f>
        <v>72006840</v>
      </c>
      <c r="O168" s="93">
        <f>SUM(O156:O167)</f>
        <v>33137640</v>
      </c>
      <c r="P168" s="96">
        <f>SUM(P156:P161)</f>
        <v>0</v>
      </c>
      <c r="Q168" s="379">
        <f>SUM(N168:P168)</f>
        <v>105144480</v>
      </c>
      <c r="R168" s="66"/>
      <c r="S168" s="186"/>
      <c r="W168" s="1"/>
    </row>
    <row r="169" spans="1:23" ht="30" customHeight="1">
      <c r="A169" s="5"/>
      <c r="B169" s="290"/>
      <c r="C169" s="807"/>
      <c r="E169" s="69"/>
      <c r="F169" s="8"/>
      <c r="G169" s="70"/>
      <c r="I169" s="70"/>
      <c r="J169" s="9"/>
      <c r="K169" s="9"/>
      <c r="L169" s="163"/>
      <c r="M169" s="296"/>
      <c r="N169" s="71"/>
      <c r="O169" s="71"/>
      <c r="P169" s="71"/>
      <c r="Q169" s="72"/>
      <c r="R169" s="22"/>
      <c r="S169" s="185"/>
    </row>
    <row r="170" spans="1:23" s="67" customFormat="1" ht="15" customHeight="1">
      <c r="A170" s="63"/>
      <c r="B170" s="290"/>
      <c r="C170" s="807"/>
      <c r="D170" s="755">
        <v>11</v>
      </c>
      <c r="E170" s="45" t="s">
        <v>118</v>
      </c>
      <c r="F170" s="78" t="s">
        <v>18</v>
      </c>
      <c r="G170" s="389" t="s">
        <v>19</v>
      </c>
      <c r="H170" s="364" t="s">
        <v>20</v>
      </c>
      <c r="I170" s="381" t="s">
        <v>9</v>
      </c>
      <c r="J170" s="81" t="s">
        <v>10</v>
      </c>
      <c r="K170" s="81" t="s">
        <v>11</v>
      </c>
      <c r="L170" s="165"/>
      <c r="M170" s="296"/>
      <c r="N170" s="83" t="s">
        <v>12</v>
      </c>
      <c r="O170" s="83" t="s">
        <v>13</v>
      </c>
      <c r="P170" s="83" t="s">
        <v>14</v>
      </c>
      <c r="Q170" s="378" t="s">
        <v>9</v>
      </c>
      <c r="R170" s="82"/>
      <c r="S170" s="186"/>
      <c r="W170" s="1"/>
    </row>
    <row r="171" spans="1:23" s="121" customFormat="1" ht="15" customHeight="1">
      <c r="B171" s="294"/>
      <c r="C171" s="812"/>
      <c r="D171" s="719" t="s">
        <v>451</v>
      </c>
      <c r="E171" s="122" t="s">
        <v>450</v>
      </c>
      <c r="F171" s="523"/>
      <c r="G171" s="537"/>
      <c r="H171" s="669"/>
      <c r="I171" s="115"/>
      <c r="J171" s="115"/>
      <c r="K171" s="112"/>
      <c r="L171" s="163"/>
      <c r="M171" s="296"/>
      <c r="N171" s="127"/>
      <c r="O171" s="128"/>
      <c r="P171" s="129"/>
      <c r="Q171" s="130"/>
      <c r="R171" s="126"/>
      <c r="S171" s="188"/>
    </row>
    <row r="172" spans="1:23" ht="15" customHeight="1">
      <c r="A172" s="5"/>
      <c r="B172" s="290"/>
      <c r="C172" s="828">
        <f>H172</f>
        <v>1</v>
      </c>
      <c r="D172" s="719"/>
      <c r="E172" s="23" t="s">
        <v>765</v>
      </c>
      <c r="F172" s="89" t="s">
        <v>21</v>
      </c>
      <c r="G172" s="288">
        <f>11000000*$G$6</f>
        <v>11880000</v>
      </c>
      <c r="H172" s="580">
        <v>1</v>
      </c>
      <c r="I172" s="86">
        <f t="shared" ref="I172:I179" si="3">+G172*H172</f>
        <v>11880000</v>
      </c>
      <c r="J172" s="676"/>
      <c r="K172" s="104"/>
      <c r="L172" s="163"/>
      <c r="M172" s="296"/>
      <c r="N172" s="594"/>
      <c r="O172" s="100"/>
      <c r="P172" s="619"/>
      <c r="Q172" s="619"/>
      <c r="R172" s="22"/>
      <c r="S172" s="185"/>
    </row>
    <row r="173" spans="1:23" ht="15" customHeight="1">
      <c r="A173" s="5"/>
      <c r="B173" s="290"/>
      <c r="C173" s="828">
        <f t="shared" ref="C173:C179" si="4">H173</f>
        <v>2</v>
      </c>
      <c r="D173" s="719"/>
      <c r="E173" s="23" t="s">
        <v>268</v>
      </c>
      <c r="F173" s="89" t="s">
        <v>21</v>
      </c>
      <c r="G173" s="288">
        <f>2160000*G6</f>
        <v>2332800</v>
      </c>
      <c r="H173" s="580">
        <v>2</v>
      </c>
      <c r="I173" s="86">
        <f t="shared" si="3"/>
        <v>4665600</v>
      </c>
      <c r="J173" s="676"/>
      <c r="K173" s="104"/>
      <c r="L173" s="163"/>
      <c r="M173" s="296"/>
      <c r="N173" s="594"/>
      <c r="O173" s="100"/>
      <c r="P173" s="619"/>
      <c r="Q173" s="619"/>
      <c r="R173" s="22"/>
      <c r="S173" s="185"/>
    </row>
    <row r="174" spans="1:23" ht="15" customHeight="1">
      <c r="A174" s="5"/>
      <c r="B174" s="290"/>
      <c r="C174" s="828">
        <f t="shared" si="4"/>
        <v>2</v>
      </c>
      <c r="D174" s="719"/>
      <c r="E174" s="23" t="s">
        <v>269</v>
      </c>
      <c r="F174" s="89" t="s">
        <v>21</v>
      </c>
      <c r="G174" s="288">
        <f>G6*2160000</f>
        <v>2332800</v>
      </c>
      <c r="H174" s="580">
        <v>2</v>
      </c>
      <c r="I174" s="86">
        <f t="shared" si="3"/>
        <v>4665600</v>
      </c>
      <c r="J174" s="676"/>
      <c r="K174" s="104"/>
      <c r="L174" s="163"/>
      <c r="M174" s="296"/>
      <c r="N174" s="594"/>
      <c r="O174" s="100"/>
      <c r="P174" s="619"/>
      <c r="Q174" s="619"/>
      <c r="R174" s="22"/>
      <c r="S174" s="185"/>
    </row>
    <row r="175" spans="1:23" ht="15" customHeight="1">
      <c r="A175" s="5"/>
      <c r="B175" s="290"/>
      <c r="C175" s="828">
        <f t="shared" si="4"/>
        <v>3</v>
      </c>
      <c r="D175" s="719"/>
      <c r="E175" s="23" t="s">
        <v>270</v>
      </c>
      <c r="F175" s="89" t="s">
        <v>21</v>
      </c>
      <c r="G175" s="288">
        <f>G6*1600000</f>
        <v>1728000</v>
      </c>
      <c r="H175" s="580">
        <v>3</v>
      </c>
      <c r="I175" s="86">
        <f t="shared" si="3"/>
        <v>5184000</v>
      </c>
      <c r="J175" s="676"/>
      <c r="K175" s="104"/>
      <c r="L175" s="163"/>
      <c r="M175" s="296"/>
      <c r="N175" s="594"/>
      <c r="O175" s="100"/>
      <c r="P175" s="619"/>
      <c r="Q175" s="619"/>
      <c r="R175" s="22"/>
      <c r="S175" s="185"/>
    </row>
    <row r="176" spans="1:23" ht="15" customHeight="1">
      <c r="A176" s="5"/>
      <c r="B176" s="290"/>
      <c r="C176" s="828">
        <f t="shared" si="4"/>
        <v>2</v>
      </c>
      <c r="D176" s="719"/>
      <c r="E176" s="23" t="s">
        <v>281</v>
      </c>
      <c r="F176" s="89" t="s">
        <v>21</v>
      </c>
      <c r="G176" s="288">
        <f>G6*1400000</f>
        <v>1512000</v>
      </c>
      <c r="H176" s="580">
        <v>2</v>
      </c>
      <c r="I176" s="86">
        <f t="shared" si="3"/>
        <v>3024000</v>
      </c>
      <c r="J176" s="676"/>
      <c r="K176" s="104"/>
      <c r="L176" s="163"/>
      <c r="M176" s="296"/>
      <c r="N176" s="594"/>
      <c r="O176" s="100"/>
      <c r="P176" s="619"/>
      <c r="Q176" s="619"/>
      <c r="R176" s="22"/>
      <c r="S176" s="185"/>
    </row>
    <row r="177" spans="1:23" ht="15" customHeight="1">
      <c r="A177" s="5"/>
      <c r="B177" s="290"/>
      <c r="C177" s="828">
        <f t="shared" si="4"/>
        <v>2</v>
      </c>
      <c r="D177" s="719"/>
      <c r="E177" s="23" t="s">
        <v>282</v>
      </c>
      <c r="F177" s="89" t="s">
        <v>21</v>
      </c>
      <c r="G177" s="288">
        <f>G6*1200000</f>
        <v>1296000</v>
      </c>
      <c r="H177" s="580">
        <v>2</v>
      </c>
      <c r="I177" s="86">
        <f t="shared" si="3"/>
        <v>2592000</v>
      </c>
      <c r="J177" s="676"/>
      <c r="K177" s="104"/>
      <c r="L177" s="163"/>
      <c r="M177" s="296"/>
      <c r="N177" s="594"/>
      <c r="O177" s="100"/>
      <c r="P177" s="619"/>
      <c r="Q177" s="619"/>
      <c r="R177" s="22"/>
      <c r="S177" s="185"/>
    </row>
    <row r="178" spans="1:23" ht="15" customHeight="1">
      <c r="A178" s="5"/>
      <c r="B178" s="290"/>
      <c r="C178" s="828">
        <f t="shared" si="4"/>
        <v>3</v>
      </c>
      <c r="D178" s="719"/>
      <c r="E178" s="23" t="s">
        <v>283</v>
      </c>
      <c r="F178" s="89" t="s">
        <v>21</v>
      </c>
      <c r="G178" s="288">
        <f>G6*1200000</f>
        <v>1296000</v>
      </c>
      <c r="H178" s="580">
        <v>3</v>
      </c>
      <c r="I178" s="86">
        <f t="shared" si="3"/>
        <v>3888000</v>
      </c>
      <c r="J178" s="676"/>
      <c r="K178" s="104"/>
      <c r="L178" s="163"/>
      <c r="M178" s="296"/>
      <c r="N178" s="594"/>
      <c r="O178" s="100"/>
      <c r="P178" s="619"/>
      <c r="Q178" s="619"/>
      <c r="R178" s="22"/>
      <c r="S178" s="185"/>
    </row>
    <row r="179" spans="1:23" ht="15" customHeight="1">
      <c r="A179" s="5"/>
      <c r="B179" s="290"/>
      <c r="C179" s="828">
        <f t="shared" si="4"/>
        <v>8</v>
      </c>
      <c r="D179" s="719"/>
      <c r="E179" s="23" t="s">
        <v>284</v>
      </c>
      <c r="F179" s="570" t="s">
        <v>271</v>
      </c>
      <c r="G179" s="550">
        <f>G6*1000000</f>
        <v>1080000</v>
      </c>
      <c r="H179" s="585">
        <v>8</v>
      </c>
      <c r="I179" s="677">
        <f t="shared" si="3"/>
        <v>8640000</v>
      </c>
      <c r="J179" s="676"/>
      <c r="K179" s="104"/>
      <c r="L179" s="163"/>
      <c r="M179" s="296"/>
      <c r="N179" s="594"/>
      <c r="O179" s="100"/>
      <c r="P179" s="619"/>
      <c r="Q179" s="619"/>
      <c r="R179" s="22"/>
      <c r="S179" s="185"/>
    </row>
    <row r="180" spans="1:23" ht="15" customHeight="1">
      <c r="A180" s="5"/>
      <c r="B180" s="290"/>
      <c r="C180" s="829"/>
      <c r="D180" s="719"/>
      <c r="E180" s="569" t="s">
        <v>233</v>
      </c>
      <c r="F180" s="596"/>
      <c r="G180" s="571"/>
      <c r="H180" s="678"/>
      <c r="I180" s="607"/>
      <c r="J180" s="117">
        <v>0</v>
      </c>
      <c r="K180" s="97">
        <f>SUM(I172:I180)</f>
        <v>44539200</v>
      </c>
      <c r="L180" s="163"/>
      <c r="M180" s="296"/>
      <c r="N180" s="86">
        <f>K180*40%</f>
        <v>17815680</v>
      </c>
      <c r="O180" s="86">
        <f>K180*60%</f>
        <v>26723520</v>
      </c>
      <c r="P180" s="86"/>
      <c r="Q180" s="103"/>
      <c r="R180" s="22"/>
      <c r="S180" s="185"/>
    </row>
    <row r="181" spans="1:23" s="5" customFormat="1" ht="15" customHeight="1">
      <c r="B181" s="294"/>
      <c r="C181" s="828"/>
      <c r="D181" s="719" t="s">
        <v>453</v>
      </c>
      <c r="E181" s="122" t="s">
        <v>452</v>
      </c>
      <c r="F181" s="523"/>
      <c r="G181" s="537"/>
      <c r="H181" s="669"/>
      <c r="I181" s="115"/>
      <c r="J181" s="115"/>
      <c r="K181" s="112"/>
      <c r="L181" s="163"/>
      <c r="M181" s="296"/>
      <c r="N181" s="136"/>
      <c r="O181" s="675"/>
      <c r="P181" s="612"/>
      <c r="Q181" s="133"/>
      <c r="R181" s="55"/>
      <c r="S181" s="185"/>
    </row>
    <row r="182" spans="1:23" ht="15" customHeight="1">
      <c r="A182" s="5"/>
      <c r="B182" s="290"/>
      <c r="C182" s="829"/>
      <c r="D182" s="719"/>
      <c r="E182" s="23" t="s">
        <v>288</v>
      </c>
      <c r="F182" s="89" t="s">
        <v>21</v>
      </c>
      <c r="G182" s="288">
        <f>G6*2000000*122%</f>
        <v>2635200</v>
      </c>
      <c r="H182" s="580">
        <v>1</v>
      </c>
      <c r="I182" s="86">
        <f t="shared" ref="I182" si="5">G182*H182</f>
        <v>2635200</v>
      </c>
      <c r="J182" s="97">
        <v>0</v>
      </c>
      <c r="K182" s="97">
        <f>SUM(I182:I182)</f>
        <v>2635200</v>
      </c>
      <c r="L182" s="163"/>
      <c r="M182" s="296"/>
      <c r="N182" s="86">
        <f>K182*0.3</f>
        <v>790560</v>
      </c>
      <c r="O182" s="86">
        <f>K182*0.7</f>
        <v>1844639.9999999998</v>
      </c>
      <c r="P182" s="86"/>
      <c r="Q182" s="103"/>
      <c r="R182" s="22"/>
      <c r="S182" s="185"/>
    </row>
    <row r="183" spans="1:23" s="5" customFormat="1" ht="15" customHeight="1">
      <c r="B183" s="290"/>
      <c r="C183" s="829"/>
      <c r="D183" s="719" t="s">
        <v>454</v>
      </c>
      <c r="E183" s="106" t="s">
        <v>455</v>
      </c>
      <c r="F183" s="523"/>
      <c r="G183" s="537"/>
      <c r="H183" s="669"/>
      <c r="I183" s="115"/>
      <c r="J183" s="115"/>
      <c r="K183" s="112"/>
      <c r="L183" s="163"/>
      <c r="M183" s="296"/>
      <c r="N183" s="86"/>
      <c r="O183" s="86"/>
      <c r="P183" s="86"/>
      <c r="Q183" s="87"/>
      <c r="R183" s="22"/>
      <c r="S183" s="185"/>
    </row>
    <row r="184" spans="1:23" s="5" customFormat="1">
      <c r="B184" s="294"/>
      <c r="C184" s="829"/>
      <c r="D184" s="722"/>
      <c r="E184" s="567"/>
      <c r="F184" s="89" t="s">
        <v>21</v>
      </c>
      <c r="G184" s="288">
        <f>G6*200000*122%</f>
        <v>263520</v>
      </c>
      <c r="H184" s="580">
        <v>1</v>
      </c>
      <c r="I184" s="86">
        <f t="shared" ref="I184" si="6">G184*H184</f>
        <v>263520</v>
      </c>
      <c r="J184" s="97">
        <v>0</v>
      </c>
      <c r="K184" s="97">
        <f>SUM(I184:I184)</f>
        <v>263520</v>
      </c>
      <c r="L184" s="163"/>
      <c r="M184" s="296"/>
      <c r="N184" s="86">
        <f>I184*0.7</f>
        <v>184464</v>
      </c>
      <c r="O184" s="86">
        <f>I184*0.3</f>
        <v>79056</v>
      </c>
      <c r="P184" s="86"/>
      <c r="Q184" s="103"/>
      <c r="R184" s="55"/>
      <c r="S184" s="185"/>
    </row>
    <row r="185" spans="1:23" s="5" customFormat="1">
      <c r="B185" s="294"/>
      <c r="C185" s="829"/>
      <c r="D185" s="719" t="s">
        <v>457</v>
      </c>
      <c r="E185" s="540" t="s">
        <v>456</v>
      </c>
      <c r="F185" s="523"/>
      <c r="G185" s="537"/>
      <c r="H185" s="669"/>
      <c r="I185" s="115"/>
      <c r="J185" s="115"/>
      <c r="K185" s="112"/>
      <c r="L185" s="163"/>
      <c r="M185" s="296"/>
      <c r="N185" s="594"/>
      <c r="O185" s="100"/>
      <c r="P185" s="619"/>
      <c r="Q185" s="103"/>
      <c r="R185" s="55"/>
      <c r="S185" s="185"/>
    </row>
    <row r="186" spans="1:23" s="5" customFormat="1">
      <c r="B186" s="290"/>
      <c r="C186" s="829"/>
      <c r="D186" s="719"/>
      <c r="E186" s="568"/>
      <c r="F186" s="107" t="s">
        <v>65</v>
      </c>
      <c r="G186" s="288">
        <f>G6*700000*122%</f>
        <v>922320</v>
      </c>
      <c r="H186" s="580">
        <v>15</v>
      </c>
      <c r="I186" s="86">
        <f>G186*H186</f>
        <v>13834800</v>
      </c>
      <c r="J186" s="97">
        <v>0</v>
      </c>
      <c r="K186" s="97">
        <f>SUM(I186)+J186</f>
        <v>13834800</v>
      </c>
      <c r="L186" s="163"/>
      <c r="M186" s="296"/>
      <c r="N186" s="679">
        <f>I186*0.3</f>
        <v>4150440</v>
      </c>
      <c r="O186" s="679">
        <f>I186*0.7</f>
        <v>9684360</v>
      </c>
      <c r="P186" s="680"/>
      <c r="Q186" s="87"/>
      <c r="R186" s="22"/>
      <c r="S186" s="185"/>
    </row>
    <row r="187" spans="1:23" s="5" customFormat="1">
      <c r="B187" s="294"/>
      <c r="C187" s="829"/>
      <c r="D187" s="719" t="s">
        <v>458</v>
      </c>
      <c r="E187" s="843" t="s">
        <v>459</v>
      </c>
      <c r="F187" s="885"/>
      <c r="G187" s="886"/>
      <c r="H187" s="875"/>
      <c r="I187" s="929"/>
      <c r="J187" s="115"/>
      <c r="K187" s="112"/>
      <c r="L187" s="163"/>
      <c r="M187" s="296"/>
      <c r="N187" s="594"/>
      <c r="O187" s="100"/>
      <c r="P187" s="619"/>
      <c r="Q187" s="103"/>
      <c r="R187" s="55"/>
      <c r="S187" s="185"/>
    </row>
    <row r="188" spans="1:23" s="5" customFormat="1">
      <c r="B188" s="294"/>
      <c r="C188" s="829"/>
      <c r="D188" s="722"/>
      <c r="E188" s="848"/>
      <c r="F188" s="878" t="s">
        <v>21</v>
      </c>
      <c r="G188" s="869">
        <v>0</v>
      </c>
      <c r="H188" s="869">
        <v>0</v>
      </c>
      <c r="I188" s="870">
        <f>G188*H188</f>
        <v>0</v>
      </c>
      <c r="J188" s="97">
        <v>0</v>
      </c>
      <c r="K188" s="86">
        <f>I188</f>
        <v>0</v>
      </c>
      <c r="L188" s="163"/>
      <c r="M188" s="296"/>
      <c r="N188" s="86">
        <f>I188*50%</f>
        <v>0</v>
      </c>
      <c r="O188" s="86">
        <f>I188*50%</f>
        <v>0</v>
      </c>
      <c r="P188" s="86"/>
      <c r="Q188" s="103"/>
      <c r="R188" s="55"/>
      <c r="S188" s="185"/>
    </row>
    <row r="189" spans="1:23" s="121" customFormat="1" ht="15" customHeight="1">
      <c r="B189" s="294"/>
      <c r="C189" s="828"/>
      <c r="D189" s="719" t="s">
        <v>460</v>
      </c>
      <c r="E189" s="106" t="s">
        <v>122</v>
      </c>
      <c r="F189" s="132"/>
      <c r="G189" s="669"/>
      <c r="H189" s="672"/>
      <c r="I189" s="86"/>
      <c r="J189" s="681"/>
      <c r="K189" s="682"/>
      <c r="L189" s="163"/>
      <c r="M189" s="296"/>
      <c r="N189" s="136"/>
      <c r="O189" s="675"/>
      <c r="P189" s="612"/>
      <c r="Q189" s="133"/>
      <c r="R189" s="126"/>
      <c r="S189" s="188"/>
    </row>
    <row r="190" spans="1:23" s="5" customFormat="1" ht="15" customHeight="1">
      <c r="B190" s="290"/>
      <c r="C190" s="829"/>
      <c r="D190" s="719"/>
      <c r="E190" s="673"/>
      <c r="F190" s="89" t="s">
        <v>21</v>
      </c>
      <c r="G190" s="288">
        <v>0</v>
      </c>
      <c r="H190" s="580">
        <v>1</v>
      </c>
      <c r="I190" s="86">
        <f>G190*H190</f>
        <v>0</v>
      </c>
      <c r="J190" s="97">
        <v>0</v>
      </c>
      <c r="K190" s="86">
        <f>I190</f>
        <v>0</v>
      </c>
      <c r="L190" s="163"/>
      <c r="M190" s="296"/>
      <c r="N190" s="86">
        <f>I190*50%</f>
        <v>0</v>
      </c>
      <c r="O190" s="86">
        <f>I190*50%</f>
        <v>0</v>
      </c>
      <c r="P190" s="86"/>
      <c r="Q190" s="103"/>
      <c r="R190" s="22"/>
      <c r="S190" s="185"/>
    </row>
    <row r="191" spans="1:23" s="67" customFormat="1" ht="15" customHeight="1">
      <c r="A191" s="63"/>
      <c r="B191" s="295"/>
      <c r="C191" s="813">
        <f>SUM(C170:C190)</f>
        <v>23</v>
      </c>
      <c r="D191" s="724"/>
      <c r="E191" s="69"/>
      <c r="F191" s="92"/>
      <c r="G191" s="1041" t="s">
        <v>123</v>
      </c>
      <c r="H191" s="1041"/>
      <c r="I191" s="380">
        <f>SUM(I171:I190)</f>
        <v>61272720</v>
      </c>
      <c r="J191" s="93">
        <f>SUM(J171:J190)</f>
        <v>0</v>
      </c>
      <c r="K191" s="93">
        <f>SUM(K171:K190)</f>
        <v>61272720</v>
      </c>
      <c r="L191" s="165"/>
      <c r="M191" s="296"/>
      <c r="N191" s="94">
        <f>SUM(N171:N190)</f>
        <v>22941144</v>
      </c>
      <c r="O191" s="95">
        <f>SUM(O171:O190)</f>
        <v>38331576</v>
      </c>
      <c r="P191" s="96">
        <f>SUM(P171:P190)</f>
        <v>0</v>
      </c>
      <c r="Q191" s="379">
        <f>SUM(N191:P191)</f>
        <v>61272720</v>
      </c>
      <c r="R191" s="66"/>
      <c r="S191" s="186"/>
      <c r="W191" s="1"/>
    </row>
    <row r="192" spans="1:23" ht="30" customHeight="1">
      <c r="A192" s="5"/>
      <c r="B192" s="290"/>
      <c r="C192" s="807"/>
      <c r="D192" s="724"/>
      <c r="E192" s="69"/>
      <c r="F192" s="8"/>
      <c r="G192" s="70"/>
      <c r="I192" s="70"/>
      <c r="J192" s="9"/>
      <c r="K192" s="9"/>
      <c r="L192" s="163"/>
      <c r="M192" s="296"/>
      <c r="N192" s="71"/>
      <c r="O192" s="71"/>
      <c r="P192" s="71"/>
      <c r="Q192" s="72"/>
      <c r="R192" s="22"/>
      <c r="S192" s="185"/>
    </row>
    <row r="193" spans="1:23" s="67" customFormat="1" ht="15" customHeight="1">
      <c r="A193" s="63"/>
      <c r="B193" s="293"/>
      <c r="C193" s="811"/>
      <c r="D193" s="755">
        <v>12</v>
      </c>
      <c r="E193" s="45" t="s">
        <v>463</v>
      </c>
      <c r="F193" s="78" t="s">
        <v>18</v>
      </c>
      <c r="G193" s="389" t="s">
        <v>19</v>
      </c>
      <c r="H193" s="364" t="s">
        <v>20</v>
      </c>
      <c r="I193" s="381" t="s">
        <v>9</v>
      </c>
      <c r="J193" s="81" t="s">
        <v>10</v>
      </c>
      <c r="K193" s="81" t="s">
        <v>11</v>
      </c>
      <c r="L193" s="165"/>
      <c r="M193" s="296"/>
      <c r="N193" s="83" t="s">
        <v>12</v>
      </c>
      <c r="O193" s="83" t="s">
        <v>13</v>
      </c>
      <c r="P193" s="83" t="s">
        <v>14</v>
      </c>
      <c r="Q193" s="378" t="s">
        <v>9</v>
      </c>
      <c r="R193" s="82"/>
      <c r="S193" s="186"/>
      <c r="W193" s="1"/>
    </row>
    <row r="194" spans="1:23" s="5" customFormat="1">
      <c r="B194" s="294"/>
      <c r="C194" s="807"/>
      <c r="D194" s="719" t="s">
        <v>464</v>
      </c>
      <c r="E194" s="538" t="s">
        <v>468</v>
      </c>
      <c r="F194" s="519"/>
      <c r="G194" s="637"/>
      <c r="H194" s="638"/>
      <c r="I194" s="671"/>
      <c r="J194" s="608"/>
      <c r="K194" s="609"/>
      <c r="L194" s="163"/>
      <c r="M194" s="296"/>
      <c r="N194" s="594"/>
      <c r="O194" s="100"/>
      <c r="P194" s="619"/>
      <c r="Q194" s="103"/>
      <c r="R194" s="55"/>
      <c r="S194" s="185"/>
    </row>
    <row r="195" spans="1:23" s="5" customFormat="1">
      <c r="B195" s="294"/>
      <c r="C195" s="807"/>
      <c r="D195" s="722"/>
      <c r="E195" s="539"/>
      <c r="F195" s="541"/>
      <c r="G195" s="613"/>
      <c r="H195" s="580">
        <v>1</v>
      </c>
      <c r="I195" s="602"/>
      <c r="J195" s="616">
        <v>0</v>
      </c>
      <c r="K195" s="616">
        <f>J195</f>
        <v>0</v>
      </c>
      <c r="L195" s="163"/>
      <c r="M195" s="296"/>
      <c r="N195" s="86"/>
      <c r="O195" s="86"/>
      <c r="P195" s="86"/>
      <c r="Q195" s="103"/>
      <c r="R195" s="55"/>
      <c r="S195" s="185"/>
    </row>
    <row r="196" spans="1:23" s="5" customFormat="1">
      <c r="B196" s="294"/>
      <c r="C196" s="807"/>
      <c r="D196" s="719" t="s">
        <v>465</v>
      </c>
      <c r="E196" s="538" t="s">
        <v>467</v>
      </c>
      <c r="F196" s="519"/>
      <c r="G196" s="637"/>
      <c r="H196" s="638"/>
      <c r="I196" s="671"/>
      <c r="J196" s="608"/>
      <c r="K196" s="609"/>
      <c r="L196" s="163"/>
      <c r="M196" s="296"/>
      <c r="N196" s="594"/>
      <c r="O196" s="100"/>
      <c r="P196" s="619"/>
      <c r="Q196" s="103"/>
      <c r="R196" s="55"/>
      <c r="S196" s="185"/>
    </row>
    <row r="197" spans="1:23" s="5" customFormat="1">
      <c r="B197" s="294"/>
      <c r="C197" s="807"/>
      <c r="D197" s="722"/>
      <c r="E197" s="539"/>
      <c r="F197" s="89"/>
      <c r="G197" s="288"/>
      <c r="H197" s="580">
        <v>1</v>
      </c>
      <c r="I197" s="602"/>
      <c r="J197" s="616">
        <v>0</v>
      </c>
      <c r="K197" s="616">
        <f>J197</f>
        <v>0</v>
      </c>
      <c r="L197" s="163"/>
      <c r="M197" s="296"/>
      <c r="N197" s="86"/>
      <c r="O197" s="86"/>
      <c r="P197" s="86"/>
      <c r="Q197" s="103"/>
      <c r="R197" s="55"/>
      <c r="S197" s="185"/>
    </row>
    <row r="198" spans="1:23" s="5" customFormat="1" ht="15" customHeight="1">
      <c r="B198" s="290"/>
      <c r="C198" s="807"/>
      <c r="D198" s="719" t="s">
        <v>466</v>
      </c>
      <c r="E198" s="566" t="s">
        <v>122</v>
      </c>
      <c r="F198" s="523"/>
      <c r="G198" s="537"/>
      <c r="H198" s="669"/>
      <c r="I198" s="115"/>
      <c r="J198" s="115"/>
      <c r="K198" s="112"/>
      <c r="L198" s="163"/>
      <c r="M198" s="296"/>
      <c r="N198" s="594"/>
      <c r="O198" s="100"/>
      <c r="P198" s="619"/>
      <c r="Q198" s="87"/>
      <c r="R198" s="22"/>
      <c r="S198" s="185"/>
    </row>
    <row r="199" spans="1:23" s="5" customFormat="1">
      <c r="B199" s="294"/>
      <c r="C199" s="807"/>
      <c r="D199" s="722"/>
      <c r="E199" s="539"/>
      <c r="F199" s="89"/>
      <c r="G199" s="288"/>
      <c r="H199" s="580">
        <v>1</v>
      </c>
      <c r="I199" s="602"/>
      <c r="J199" s="616">
        <v>0</v>
      </c>
      <c r="K199" s="616">
        <f>J199</f>
        <v>0</v>
      </c>
      <c r="L199" s="163"/>
      <c r="M199" s="296"/>
      <c r="N199" s="86"/>
      <c r="O199" s="86"/>
      <c r="P199" s="86"/>
      <c r="Q199" s="87"/>
      <c r="R199" s="55"/>
      <c r="S199" s="185"/>
    </row>
    <row r="200" spans="1:23" s="67" customFormat="1" ht="15" customHeight="1">
      <c r="A200" s="63"/>
      <c r="B200" s="295"/>
      <c r="C200" s="813">
        <f>SUM(C194:C199)</f>
        <v>0</v>
      </c>
      <c r="D200" s="724"/>
      <c r="E200" s="98"/>
      <c r="F200" s="92"/>
      <c r="G200" s="1041" t="s">
        <v>124</v>
      </c>
      <c r="H200" s="1041"/>
      <c r="I200" s="380">
        <f>SUM(I194:I199)</f>
        <v>0</v>
      </c>
      <c r="J200" s="93">
        <f>SUM(J194:J199)</f>
        <v>0</v>
      </c>
      <c r="K200" s="93">
        <f>SUM(K194:K199)</f>
        <v>0</v>
      </c>
      <c r="L200" s="165"/>
      <c r="M200" s="296"/>
      <c r="N200" s="93">
        <f>SUM(N194:N199)</f>
        <v>0</v>
      </c>
      <c r="O200" s="93">
        <f>SUM(O194:O199)</f>
        <v>0</v>
      </c>
      <c r="P200" s="93">
        <f>SUM(P194:P199)</f>
        <v>0</v>
      </c>
      <c r="Q200" s="379">
        <f>SUM(N200:P200)</f>
        <v>0</v>
      </c>
      <c r="R200" s="66"/>
      <c r="S200" s="186"/>
      <c r="W200" s="1"/>
    </row>
    <row r="201" spans="1:23" ht="30" customHeight="1">
      <c r="A201" s="5"/>
      <c r="B201" s="290"/>
      <c r="C201" s="807"/>
      <c r="E201" s="69"/>
      <c r="F201" s="8"/>
      <c r="G201" s="70"/>
      <c r="I201" s="70"/>
      <c r="J201" s="9"/>
      <c r="K201" s="9"/>
      <c r="L201" s="163"/>
      <c r="M201" s="296"/>
      <c r="N201" s="71"/>
      <c r="O201" s="71"/>
      <c r="P201" s="71"/>
      <c r="Q201" s="72"/>
      <c r="R201" s="22"/>
      <c r="S201" s="185"/>
    </row>
    <row r="202" spans="1:23" s="67" customFormat="1" ht="15" customHeight="1">
      <c r="A202" s="63"/>
      <c r="B202" s="293"/>
      <c r="C202" s="811"/>
      <c r="D202" s="755">
        <v>13</v>
      </c>
      <c r="E202" s="45" t="s">
        <v>125</v>
      </c>
      <c r="F202" s="269" t="s">
        <v>18</v>
      </c>
      <c r="G202" s="390" t="s">
        <v>19</v>
      </c>
      <c r="H202" s="366" t="s">
        <v>20</v>
      </c>
      <c r="I202" s="382" t="s">
        <v>9</v>
      </c>
      <c r="J202" s="270" t="s">
        <v>10</v>
      </c>
      <c r="K202" s="270" t="s">
        <v>11</v>
      </c>
      <c r="L202" s="165"/>
      <c r="M202" s="296"/>
      <c r="N202" s="83" t="s">
        <v>12</v>
      </c>
      <c r="O202" s="83" t="s">
        <v>13</v>
      </c>
      <c r="P202" s="83" t="s">
        <v>14</v>
      </c>
      <c r="Q202" s="378" t="s">
        <v>9</v>
      </c>
      <c r="R202" s="82"/>
      <c r="S202" s="186"/>
      <c r="W202" s="1"/>
    </row>
    <row r="203" spans="1:23" ht="15" customHeight="1">
      <c r="A203" s="5"/>
      <c r="B203" s="294"/>
      <c r="C203" s="812"/>
      <c r="D203" s="719" t="s">
        <v>469</v>
      </c>
      <c r="E203" s="860" t="s">
        <v>478</v>
      </c>
      <c r="F203" s="861"/>
      <c r="G203" s="862"/>
      <c r="H203" s="862"/>
      <c r="I203" s="862"/>
      <c r="J203" s="683"/>
      <c r="K203" s="684"/>
      <c r="L203" s="1"/>
      <c r="M203" s="296"/>
      <c r="Q203" s="87"/>
      <c r="R203" s="55"/>
    </row>
    <row r="204" spans="1:23" ht="15" customHeight="1">
      <c r="A204" s="5"/>
      <c r="B204" s="294"/>
      <c r="C204" s="812"/>
      <c r="D204" s="719" t="s">
        <v>470</v>
      </c>
      <c r="E204" s="860" t="s">
        <v>473</v>
      </c>
      <c r="F204" s="844"/>
      <c r="G204" s="863"/>
      <c r="H204" s="863"/>
      <c r="I204" s="863"/>
      <c r="J204" s="686"/>
      <c r="K204" s="604"/>
      <c r="L204" s="163"/>
      <c r="M204" s="296"/>
      <c r="N204" s="86"/>
      <c r="O204" s="86"/>
      <c r="P204" s="86"/>
      <c r="Q204" s="87"/>
      <c r="R204" s="55"/>
    </row>
    <row r="205" spans="1:23" ht="15" customHeight="1">
      <c r="A205" s="5"/>
      <c r="B205" s="294"/>
      <c r="C205" s="812"/>
      <c r="D205" s="719" t="s">
        <v>471</v>
      </c>
      <c r="E205" s="88" t="s">
        <v>474</v>
      </c>
      <c r="F205" s="85" t="s">
        <v>21</v>
      </c>
      <c r="G205" s="627">
        <f>'SADAIC-SAdeM a Marzo26'!D18</f>
        <v>9600940.0600000005</v>
      </c>
      <c r="H205" s="687">
        <v>1</v>
      </c>
      <c r="I205" s="687">
        <f t="shared" ref="I205" si="7">+G205*H205</f>
        <v>9600940.0600000005</v>
      </c>
      <c r="J205" s="688">
        <v>0</v>
      </c>
      <c r="K205" s="688">
        <f>I205+J205</f>
        <v>9600940.0600000005</v>
      </c>
      <c r="L205" s="163"/>
      <c r="M205" s="296"/>
      <c r="N205" s="86"/>
      <c r="O205" s="86"/>
      <c r="P205" s="86">
        <f>I205</f>
        <v>9600940.0600000005</v>
      </c>
      <c r="Q205" s="87"/>
      <c r="R205" s="55"/>
      <c r="S205" s="185"/>
    </row>
    <row r="206" spans="1:23" ht="15" customHeight="1">
      <c r="A206" s="5"/>
      <c r="B206" s="294"/>
      <c r="C206" s="812"/>
      <c r="D206" s="719" t="s">
        <v>472</v>
      </c>
      <c r="E206" s="88" t="s">
        <v>127</v>
      </c>
      <c r="F206" s="89" t="s">
        <v>21</v>
      </c>
      <c r="G206" s="580">
        <f>G6*1200000</f>
        <v>1296000</v>
      </c>
      <c r="H206" s="687">
        <v>1</v>
      </c>
      <c r="I206" s="687">
        <f>+G206*H206</f>
        <v>1296000</v>
      </c>
      <c r="J206" s="97">
        <f>I206*21%</f>
        <v>272160</v>
      </c>
      <c r="K206" s="97">
        <f>I206+J206</f>
        <v>1568160</v>
      </c>
      <c r="L206" s="163"/>
      <c r="M206" s="296"/>
      <c r="N206" s="86"/>
      <c r="O206" s="86"/>
      <c r="P206" s="86">
        <f>I206</f>
        <v>1296000</v>
      </c>
      <c r="Q206" s="87"/>
      <c r="R206" s="55"/>
      <c r="S206" s="185"/>
    </row>
    <row r="207" spans="1:23" ht="15" customHeight="1">
      <c r="A207" s="5"/>
      <c r="B207" s="294"/>
      <c r="C207" s="812"/>
      <c r="D207" s="719" t="s">
        <v>476</v>
      </c>
      <c r="E207" s="88" t="s">
        <v>475</v>
      </c>
      <c r="F207" s="89" t="s">
        <v>126</v>
      </c>
      <c r="G207" s="580">
        <f>'SADAIC-SAdeM a Marzo26'!D10</f>
        <v>5394000</v>
      </c>
      <c r="H207" s="687">
        <v>2</v>
      </c>
      <c r="I207" s="687">
        <f>+G207*H207</f>
        <v>10788000</v>
      </c>
      <c r="J207" s="97">
        <v>0</v>
      </c>
      <c r="K207" s="97">
        <f>I207+J207</f>
        <v>10788000</v>
      </c>
      <c r="L207" s="163"/>
      <c r="M207" s="296"/>
      <c r="N207" s="86"/>
      <c r="O207" s="86"/>
      <c r="P207" s="86">
        <f>I207</f>
        <v>10788000</v>
      </c>
      <c r="Q207" s="87"/>
      <c r="R207" s="55"/>
      <c r="S207" s="185"/>
    </row>
    <row r="208" spans="1:23" ht="15" customHeight="1">
      <c r="A208" s="5"/>
      <c r="B208" s="294"/>
      <c r="C208" s="812"/>
      <c r="D208" s="719" t="s">
        <v>477</v>
      </c>
      <c r="E208" s="122" t="s">
        <v>480</v>
      </c>
      <c r="F208" s="573" t="s">
        <v>21</v>
      </c>
      <c r="G208" s="580">
        <f>'SADAIC-SAdeM a Marzo26'!D11</f>
        <v>27185760</v>
      </c>
      <c r="H208" s="687">
        <v>1</v>
      </c>
      <c r="I208" s="687">
        <f>+G208*H208</f>
        <v>27185760</v>
      </c>
      <c r="J208" s="97">
        <v>0</v>
      </c>
      <c r="K208" s="97">
        <f>I208+J208</f>
        <v>27185760</v>
      </c>
      <c r="L208" s="163"/>
      <c r="M208" s="296"/>
      <c r="N208" s="86"/>
      <c r="O208" s="86"/>
      <c r="P208" s="86">
        <f>I208</f>
        <v>27185760</v>
      </c>
      <c r="Q208" s="87"/>
      <c r="R208" s="55"/>
      <c r="S208" s="185"/>
    </row>
    <row r="209" spans="1:23" ht="15" customHeight="1">
      <c r="A209" s="5"/>
      <c r="B209" s="294"/>
      <c r="C209" s="812"/>
      <c r="D209" s="719" t="s">
        <v>481</v>
      </c>
      <c r="E209" s="574" t="s">
        <v>164</v>
      </c>
      <c r="F209" s="542"/>
      <c r="G209" s="685"/>
      <c r="H209" s="685"/>
      <c r="I209" s="685"/>
      <c r="J209" s="686"/>
      <c r="K209" s="604"/>
      <c r="L209" s="163"/>
      <c r="M209" s="296"/>
      <c r="N209" s="114"/>
      <c r="O209" s="86"/>
      <c r="P209" s="112"/>
      <c r="Q209" s="87"/>
      <c r="R209" s="55"/>
      <c r="S209" s="185"/>
    </row>
    <row r="210" spans="1:23" s="67" customFormat="1" ht="15" customHeight="1">
      <c r="A210" s="63"/>
      <c r="B210" s="295"/>
      <c r="C210" s="830">
        <f>SUM(C203:C209)</f>
        <v>0</v>
      </c>
      <c r="D210" s="719"/>
      <c r="E210" s="565"/>
      <c r="F210" s="92"/>
      <c r="G210" s="1041" t="s">
        <v>128</v>
      </c>
      <c r="H210" s="1041"/>
      <c r="I210" s="450">
        <f>SUM(I204:I209)</f>
        <v>48870700.060000002</v>
      </c>
      <c r="J210" s="93">
        <f>SUM(J204:J209)</f>
        <v>272160</v>
      </c>
      <c r="K210" s="93">
        <f>SUM(K204:K209)</f>
        <v>49142860.060000002</v>
      </c>
      <c r="L210" s="165"/>
      <c r="M210" s="296"/>
      <c r="N210" s="94">
        <f>SUM(N204:N209)</f>
        <v>0</v>
      </c>
      <c r="O210" s="95">
        <f>SUM(O204:O209)</f>
        <v>0</v>
      </c>
      <c r="P210" s="96">
        <f>SUM(P204:P209)</f>
        <v>48870700.060000002</v>
      </c>
      <c r="Q210" s="379">
        <f>SUM(N210:P210)</f>
        <v>48870700.060000002</v>
      </c>
      <c r="R210" s="66"/>
      <c r="S210" s="186"/>
      <c r="W210" s="1"/>
    </row>
    <row r="211" spans="1:23" ht="30" customHeight="1">
      <c r="A211" s="5"/>
      <c r="B211" s="290"/>
      <c r="C211" s="807"/>
      <c r="E211" s="8"/>
      <c r="F211" s="8"/>
      <c r="G211" s="70"/>
      <c r="I211" s="9"/>
      <c r="J211" s="9"/>
      <c r="K211" s="9"/>
      <c r="L211" s="163"/>
      <c r="M211" s="296"/>
      <c r="N211" s="71"/>
      <c r="O211" s="71"/>
      <c r="P211" s="71"/>
      <c r="Q211" s="72"/>
      <c r="R211" s="22"/>
      <c r="S211" s="185"/>
    </row>
    <row r="212" spans="1:23" s="67" customFormat="1" ht="15" customHeight="1">
      <c r="A212" s="63"/>
      <c r="B212" s="293"/>
      <c r="C212" s="811"/>
      <c r="D212" s="755">
        <v>14</v>
      </c>
      <c r="E212" s="45" t="s">
        <v>484</v>
      </c>
      <c r="F212" s="78" t="s">
        <v>18</v>
      </c>
      <c r="G212" s="389" t="s">
        <v>19</v>
      </c>
      <c r="H212" s="364" t="s">
        <v>20</v>
      </c>
      <c r="I212" s="381" t="s">
        <v>9</v>
      </c>
      <c r="J212" s="81" t="s">
        <v>10</v>
      </c>
      <c r="K212" s="81" t="s">
        <v>11</v>
      </c>
      <c r="L212" s="165"/>
      <c r="M212" s="296"/>
      <c r="N212" s="83" t="s">
        <v>12</v>
      </c>
      <c r="O212" s="83" t="s">
        <v>13</v>
      </c>
      <c r="P212" s="83" t="s">
        <v>14</v>
      </c>
      <c r="Q212" s="378" t="s">
        <v>9</v>
      </c>
      <c r="R212" s="82"/>
      <c r="S212" s="186"/>
      <c r="W212" s="1"/>
    </row>
    <row r="213" spans="1:23" s="5" customFormat="1" ht="15" customHeight="1">
      <c r="B213" s="290"/>
      <c r="C213" s="827"/>
      <c r="D213" s="719" t="s">
        <v>486</v>
      </c>
      <c r="E213" s="122" t="s">
        <v>485</v>
      </c>
      <c r="F213" s="542"/>
      <c r="G213" s="601"/>
      <c r="H213" s="606"/>
      <c r="I213" s="674"/>
      <c r="J213" s="608"/>
      <c r="K213" s="609"/>
      <c r="L213" s="163"/>
      <c r="M213" s="296"/>
      <c r="N213" s="132"/>
      <c r="O213" s="115"/>
      <c r="P213" s="612"/>
      <c r="Q213" s="87"/>
      <c r="R213" s="22"/>
      <c r="S213" s="185"/>
    </row>
    <row r="214" spans="1:23" ht="15" customHeight="1">
      <c r="A214" s="5"/>
      <c r="B214" s="294"/>
      <c r="C214" s="812"/>
      <c r="D214" s="719"/>
      <c r="E214" s="23" t="s">
        <v>309</v>
      </c>
      <c r="F214" s="89" t="s">
        <v>21</v>
      </c>
      <c r="G214" s="288">
        <v>600000</v>
      </c>
      <c r="H214" s="580">
        <v>10</v>
      </c>
      <c r="I214" s="86">
        <f>+G214*H214</f>
        <v>6000000</v>
      </c>
      <c r="J214" s="97">
        <f>I214*10.5%</f>
        <v>630000</v>
      </c>
      <c r="K214" s="97">
        <f>I214+J214</f>
        <v>6630000</v>
      </c>
      <c r="L214" s="163"/>
      <c r="M214" s="296"/>
      <c r="N214" s="86">
        <f>I214*0.5</f>
        <v>3000000</v>
      </c>
      <c r="O214" s="86"/>
      <c r="P214" s="86">
        <f>I214*0.5</f>
        <v>3000000</v>
      </c>
      <c r="Q214" s="87"/>
      <c r="R214" s="55"/>
      <c r="S214" s="185"/>
    </row>
    <row r="215" spans="1:23" s="5" customFormat="1" ht="15" customHeight="1">
      <c r="B215" s="290"/>
      <c r="C215" s="807"/>
      <c r="D215" s="719"/>
      <c r="E215" s="23" t="s">
        <v>745</v>
      </c>
      <c r="F215" s="89" t="s">
        <v>21</v>
      </c>
      <c r="G215" s="288">
        <v>850000</v>
      </c>
      <c r="H215" s="580">
        <v>20</v>
      </c>
      <c r="I215" s="86">
        <f>+G215*H215</f>
        <v>17000000</v>
      </c>
      <c r="J215" s="97">
        <f>I215*10.5%</f>
        <v>1785000</v>
      </c>
      <c r="K215" s="97">
        <f>I215+J215</f>
        <v>18785000</v>
      </c>
      <c r="L215" s="163"/>
      <c r="M215" s="296"/>
      <c r="N215" s="86">
        <f>I215*0.5</f>
        <v>8500000</v>
      </c>
      <c r="O215" s="86"/>
      <c r="P215" s="86">
        <f>I215*0.5</f>
        <v>8500000</v>
      </c>
      <c r="Q215" s="103"/>
      <c r="R215" s="22"/>
      <c r="S215" s="185"/>
    </row>
    <row r="216" spans="1:23" s="5" customFormat="1" ht="15" customHeight="1">
      <c r="B216" s="290"/>
      <c r="C216" s="827"/>
      <c r="D216" s="719" t="s">
        <v>487</v>
      </c>
      <c r="E216" s="122" t="s">
        <v>734</v>
      </c>
      <c r="F216" s="535"/>
      <c r="G216" s="637"/>
      <c r="H216" s="638"/>
      <c r="I216" s="671"/>
      <c r="J216" s="608"/>
      <c r="K216" s="609"/>
      <c r="L216" s="163"/>
      <c r="M216" s="296"/>
      <c r="N216" s="132"/>
      <c r="O216" s="115"/>
      <c r="P216" s="612"/>
      <c r="Q216" s="87"/>
      <c r="R216" s="22"/>
      <c r="S216" s="185"/>
    </row>
    <row r="217" spans="1:23" s="5" customFormat="1">
      <c r="B217" s="294"/>
      <c r="C217" s="807"/>
      <c r="D217" s="722"/>
      <c r="E217" s="873" t="s">
        <v>744</v>
      </c>
      <c r="F217" s="89" t="s">
        <v>21</v>
      </c>
      <c r="G217" s="288">
        <v>350000</v>
      </c>
      <c r="H217" s="687">
        <v>2</v>
      </c>
      <c r="I217" s="623">
        <f>+G217*H217</f>
        <v>700000</v>
      </c>
      <c r="J217" s="97">
        <f>I217*21%</f>
        <v>147000</v>
      </c>
      <c r="K217" s="97">
        <f>I217+J217</f>
        <v>847000</v>
      </c>
      <c r="L217" s="163"/>
      <c r="M217" s="296"/>
      <c r="N217" s="86">
        <f>I217*0.8</f>
        <v>560000</v>
      </c>
      <c r="O217" s="86">
        <f>I217*20%</f>
        <v>140000</v>
      </c>
      <c r="P217" s="86"/>
      <c r="Q217" s="103"/>
      <c r="R217" s="55"/>
      <c r="S217" s="185"/>
    </row>
    <row r="218" spans="1:23" s="930" customFormat="1" ht="15" customHeight="1">
      <c r="B218" s="931"/>
      <c r="C218" s="932"/>
      <c r="D218" s="933" t="s">
        <v>488</v>
      </c>
      <c r="E218" s="934" t="s">
        <v>489</v>
      </c>
      <c r="F218" s="935"/>
      <c r="G218" s="936"/>
      <c r="H218" s="937"/>
      <c r="I218" s="938"/>
      <c r="J218" s="939"/>
      <c r="K218" s="940"/>
      <c r="L218" s="941"/>
      <c r="M218" s="942"/>
      <c r="N218" s="943"/>
      <c r="O218" s="944"/>
      <c r="P218" s="945"/>
      <c r="Q218" s="946"/>
      <c r="R218" s="947"/>
      <c r="S218" s="948"/>
    </row>
    <row r="219" spans="1:23" s="949" customFormat="1" ht="15">
      <c r="B219" s="950"/>
      <c r="C219" s="951"/>
      <c r="D219" s="952"/>
      <c r="E219" s="953"/>
      <c r="F219" s="954" t="s">
        <v>234</v>
      </c>
      <c r="G219" s="955">
        <v>600000</v>
      </c>
      <c r="H219" s="956">
        <v>4</v>
      </c>
      <c r="I219" s="957">
        <f>+H219*G219</f>
        <v>2400000</v>
      </c>
      <c r="J219" s="957">
        <v>0</v>
      </c>
      <c r="K219" s="958">
        <f>I219+J219</f>
        <v>2400000</v>
      </c>
      <c r="L219" s="941"/>
      <c r="M219" s="942"/>
      <c r="N219" s="957"/>
      <c r="O219" s="957">
        <f>I219</f>
        <v>2400000</v>
      </c>
      <c r="P219" s="957"/>
      <c r="Q219" s="959"/>
      <c r="R219" s="960"/>
      <c r="S219" s="961"/>
    </row>
    <row r="220" spans="1:23" s="5" customFormat="1">
      <c r="B220" s="294"/>
      <c r="C220" s="807"/>
      <c r="D220" s="719" t="s">
        <v>491</v>
      </c>
      <c r="E220" s="871" t="s">
        <v>490</v>
      </c>
      <c r="F220" s="853"/>
      <c r="G220" s="854"/>
      <c r="H220" s="855"/>
      <c r="I220" s="865"/>
      <c r="J220" s="608"/>
      <c r="K220" s="609"/>
      <c r="L220" s="163"/>
      <c r="M220" s="296"/>
      <c r="N220" s="594"/>
      <c r="O220" s="100"/>
      <c r="P220" s="619"/>
      <c r="Q220" s="103"/>
      <c r="R220" s="55"/>
      <c r="S220" s="185"/>
    </row>
    <row r="221" spans="1:23" s="5" customFormat="1">
      <c r="B221" s="294"/>
      <c r="C221" s="807"/>
      <c r="D221" s="722"/>
      <c r="E221" s="866"/>
      <c r="F221" s="867" t="s">
        <v>33</v>
      </c>
      <c r="G221" s="868"/>
      <c r="H221" s="869">
        <f>G93</f>
        <v>0</v>
      </c>
      <c r="I221" s="870">
        <f>+H221*G221</f>
        <v>0</v>
      </c>
      <c r="J221" s="86">
        <v>0</v>
      </c>
      <c r="K221" s="618">
        <f>I221+J221</f>
        <v>0</v>
      </c>
      <c r="L221" s="163"/>
      <c r="M221" s="296"/>
      <c r="N221" s="86"/>
      <c r="O221" s="86">
        <f>I221</f>
        <v>0</v>
      </c>
      <c r="P221" s="86"/>
      <c r="Q221" s="103"/>
      <c r="R221" s="55"/>
      <c r="S221" s="185"/>
    </row>
    <row r="222" spans="1:23" s="5" customFormat="1" ht="15" customHeight="1">
      <c r="B222" s="290"/>
      <c r="C222" s="827"/>
      <c r="D222" s="719" t="s">
        <v>492</v>
      </c>
      <c r="E222" s="564" t="s">
        <v>236</v>
      </c>
      <c r="F222" s="535"/>
      <c r="G222" s="637"/>
      <c r="H222" s="638"/>
      <c r="I222" s="671"/>
      <c r="J222" s="608"/>
      <c r="K222" s="609"/>
      <c r="L222" s="163"/>
      <c r="M222" s="296"/>
      <c r="N222" s="594"/>
      <c r="O222" s="100"/>
      <c r="P222" s="619"/>
      <c r="Q222" s="87"/>
      <c r="R222" s="22"/>
      <c r="S222" s="185"/>
    </row>
    <row r="223" spans="1:23" s="5" customFormat="1">
      <c r="B223" s="294"/>
      <c r="C223" s="807"/>
      <c r="D223" s="722"/>
      <c r="E223" s="539"/>
      <c r="F223" s="373"/>
      <c r="G223" s="613"/>
      <c r="H223" s="614"/>
      <c r="I223" s="602"/>
      <c r="J223" s="616">
        <v>0</v>
      </c>
      <c r="K223" s="616">
        <f>J223</f>
        <v>0</v>
      </c>
      <c r="L223" s="163"/>
      <c r="M223" s="296"/>
      <c r="N223" s="86"/>
      <c r="O223" s="86">
        <f>I223</f>
        <v>0</v>
      </c>
      <c r="P223" s="86"/>
      <c r="Q223" s="103"/>
      <c r="R223" s="55"/>
      <c r="S223" s="185"/>
    </row>
    <row r="224" spans="1:23" s="67" customFormat="1" ht="15" customHeight="1">
      <c r="A224" s="63"/>
      <c r="B224" s="295"/>
      <c r="C224" s="830">
        <f>SUM(C213:C223)</f>
        <v>0</v>
      </c>
      <c r="D224" s="719"/>
      <c r="E224" s="98"/>
      <c r="F224" s="92"/>
      <c r="G224" s="1041" t="s">
        <v>129</v>
      </c>
      <c r="H224" s="1041"/>
      <c r="I224" s="380">
        <f>SUM(I213:I223)</f>
        <v>26100000</v>
      </c>
      <c r="J224" s="93">
        <f>SUM(J213:J223)</f>
        <v>2562000</v>
      </c>
      <c r="K224" s="93">
        <f>SUM(K213:K223)</f>
        <v>28662000</v>
      </c>
      <c r="L224" s="165"/>
      <c r="M224" s="296"/>
      <c r="N224" s="94">
        <f>SUM(N213:N223)</f>
        <v>12060000</v>
      </c>
      <c r="O224" s="95">
        <f>SUM(O213:O223)</f>
        <v>2540000</v>
      </c>
      <c r="P224" s="96">
        <f>SUM(P213:P223)</f>
        <v>11500000</v>
      </c>
      <c r="Q224" s="379">
        <f>SUM(N224:P224)</f>
        <v>26100000</v>
      </c>
      <c r="R224" s="66"/>
      <c r="S224" s="186"/>
      <c r="W224" s="1"/>
    </row>
    <row r="225" spans="1:23" ht="30" customHeight="1">
      <c r="A225" s="5"/>
      <c r="B225" s="290"/>
      <c r="C225" s="807"/>
      <c r="D225" s="719"/>
      <c r="E225" s="8"/>
      <c r="F225" s="8"/>
      <c r="G225" s="70"/>
      <c r="I225" s="70"/>
      <c r="J225" s="9"/>
      <c r="K225" s="9"/>
      <c r="L225" s="163"/>
      <c r="M225" s="296"/>
      <c r="N225" s="71"/>
      <c r="O225" s="71"/>
      <c r="P225" s="71"/>
      <c r="Q225" s="72"/>
      <c r="R225" s="22"/>
      <c r="S225" s="185"/>
    </row>
    <row r="226" spans="1:23" s="67" customFormat="1" ht="15" customHeight="1">
      <c r="A226" s="63"/>
      <c r="B226" s="293"/>
      <c r="C226" s="811"/>
      <c r="D226" s="755">
        <v>15</v>
      </c>
      <c r="E226" s="45" t="s">
        <v>493</v>
      </c>
      <c r="F226" s="78" t="s">
        <v>18</v>
      </c>
      <c r="G226" s="389" t="s">
        <v>19</v>
      </c>
      <c r="H226" s="364" t="s">
        <v>20</v>
      </c>
      <c r="I226" s="381" t="s">
        <v>9</v>
      </c>
      <c r="J226" s="81" t="s">
        <v>10</v>
      </c>
      <c r="K226" s="81" t="s">
        <v>11</v>
      </c>
      <c r="L226" s="165"/>
      <c r="M226" s="296"/>
      <c r="N226" s="83" t="s">
        <v>12</v>
      </c>
      <c r="O226" s="83" t="s">
        <v>13</v>
      </c>
      <c r="P226" s="83" t="s">
        <v>14</v>
      </c>
      <c r="Q226" s="378" t="s">
        <v>9</v>
      </c>
      <c r="R226" s="82"/>
      <c r="S226" s="186"/>
      <c r="W226" s="1"/>
    </row>
    <row r="227" spans="1:23" s="121" customFormat="1" ht="15" customHeight="1">
      <c r="B227" s="294"/>
      <c r="C227" s="826"/>
      <c r="D227" s="719" t="s">
        <v>494</v>
      </c>
      <c r="E227" s="106" t="s">
        <v>495</v>
      </c>
      <c r="F227" s="107"/>
      <c r="G227" s="669"/>
      <c r="H227" s="580"/>
      <c r="I227" s="86"/>
      <c r="J227" s="97"/>
      <c r="K227" s="97"/>
      <c r="L227" s="163"/>
      <c r="M227" s="296"/>
      <c r="N227" s="594"/>
      <c r="O227" s="100"/>
      <c r="P227" s="619"/>
      <c r="Q227" s="133"/>
      <c r="R227" s="126"/>
      <c r="S227" s="188"/>
    </row>
    <row r="228" spans="1:23" s="5" customFormat="1" ht="15" customHeight="1">
      <c r="B228" s="290"/>
      <c r="C228" s="826"/>
      <c r="D228" s="722"/>
      <c r="E228" s="690" t="s">
        <v>743</v>
      </c>
      <c r="F228" s="107" t="s">
        <v>312</v>
      </c>
      <c r="G228" s="669">
        <f>12000000*G6</f>
        <v>12960000</v>
      </c>
      <c r="H228" s="580">
        <v>1</v>
      </c>
      <c r="I228" s="86">
        <f>+G228*H228</f>
        <v>12960000</v>
      </c>
      <c r="J228" s="97">
        <f>I228*21%</f>
        <v>2721600</v>
      </c>
      <c r="K228" s="97">
        <f>I228+J228</f>
        <v>15681600</v>
      </c>
      <c r="L228" s="163"/>
      <c r="M228" s="296"/>
      <c r="N228" s="86"/>
      <c r="O228" s="86"/>
      <c r="P228" s="86">
        <f>I228-O228</f>
        <v>12960000</v>
      </c>
      <c r="Q228" s="87"/>
      <c r="R228" s="22"/>
      <c r="S228" s="185"/>
    </row>
    <row r="229" spans="1:23" s="5" customFormat="1">
      <c r="B229" s="294"/>
      <c r="C229" s="807"/>
      <c r="D229" s="719" t="s">
        <v>496</v>
      </c>
      <c r="E229" s="538" t="s">
        <v>497</v>
      </c>
      <c r="F229" s="838"/>
      <c r="G229" s="637"/>
      <c r="H229" s="839"/>
      <c r="I229" s="671"/>
      <c r="J229" s="608"/>
      <c r="K229" s="609"/>
      <c r="L229" s="163"/>
      <c r="M229" s="296"/>
      <c r="N229" s="594"/>
      <c r="O229" s="100"/>
      <c r="P229" s="619"/>
      <c r="Q229" s="103"/>
      <c r="R229" s="55"/>
      <c r="S229" s="185"/>
    </row>
    <row r="230" spans="1:23" s="5" customFormat="1">
      <c r="B230" s="294"/>
      <c r="C230" s="807"/>
      <c r="D230" s="722"/>
      <c r="E230" s="752"/>
      <c r="F230" s="840"/>
      <c r="G230" s="805">
        <f>3500*G7</f>
        <v>5425000</v>
      </c>
      <c r="H230" s="580">
        <v>1</v>
      </c>
      <c r="I230" s="86">
        <f>+G230*H230</f>
        <v>5425000</v>
      </c>
      <c r="J230" s="616">
        <v>0</v>
      </c>
      <c r="K230" s="97">
        <f>I230+J230</f>
        <v>5425000</v>
      </c>
      <c r="L230" s="163"/>
      <c r="M230" s="296"/>
      <c r="N230" s="86"/>
      <c r="O230" s="86"/>
      <c r="P230" s="86">
        <f>I230-O230</f>
        <v>5425000</v>
      </c>
      <c r="Q230" s="103"/>
      <c r="R230" s="55"/>
      <c r="S230" s="185"/>
    </row>
    <row r="231" spans="1:23" s="121" customFormat="1" ht="15" customHeight="1">
      <c r="B231" s="294"/>
      <c r="C231" s="826"/>
      <c r="D231" s="719" t="s">
        <v>498</v>
      </c>
      <c r="E231" s="872" t="s">
        <v>499</v>
      </c>
      <c r="F231" s="132"/>
      <c r="G231" s="669"/>
      <c r="H231" s="612"/>
      <c r="I231" s="86"/>
      <c r="J231" s="670"/>
      <c r="K231" s="117"/>
      <c r="L231" s="163"/>
      <c r="M231" s="296"/>
      <c r="N231" s="594"/>
      <c r="O231" s="100"/>
      <c r="P231" s="619"/>
      <c r="Q231" s="133"/>
      <c r="R231" s="126"/>
      <c r="S231" s="188"/>
    </row>
    <row r="232" spans="1:23" s="5" customFormat="1" ht="15" customHeight="1">
      <c r="B232" s="290"/>
      <c r="C232" s="826"/>
      <c r="D232" s="722"/>
      <c r="E232" s="23" t="s">
        <v>739</v>
      </c>
      <c r="F232" s="107" t="s">
        <v>21</v>
      </c>
      <c r="G232" s="288">
        <f>3000*G7</f>
        <v>4650000</v>
      </c>
      <c r="H232" s="580">
        <v>1</v>
      </c>
      <c r="I232" s="86">
        <f>+G232*H232</f>
        <v>4650000</v>
      </c>
      <c r="J232" s="97">
        <f>I232*21%</f>
        <v>976500</v>
      </c>
      <c r="K232" s="97">
        <f>I232+J232</f>
        <v>5626500</v>
      </c>
      <c r="L232" s="163"/>
      <c r="M232" s="296"/>
      <c r="N232" s="86"/>
      <c r="O232" s="86"/>
      <c r="P232" s="86">
        <f>I232-O232</f>
        <v>4650000</v>
      </c>
      <c r="Q232" s="87"/>
      <c r="R232" s="22"/>
      <c r="S232" s="185"/>
    </row>
    <row r="233" spans="1:23" s="121" customFormat="1" ht="15" customHeight="1">
      <c r="B233" s="294"/>
      <c r="C233" s="826"/>
      <c r="D233" s="719" t="s">
        <v>500</v>
      </c>
      <c r="E233" s="122" t="s">
        <v>501</v>
      </c>
      <c r="F233" s="132"/>
      <c r="G233" s="669"/>
      <c r="H233" s="672"/>
      <c r="I233" s="86"/>
      <c r="J233" s="670"/>
      <c r="K233" s="117"/>
      <c r="L233" s="163"/>
      <c r="M233" s="296"/>
      <c r="N233" s="132"/>
      <c r="O233" s="115"/>
      <c r="P233" s="612"/>
      <c r="Q233" s="133"/>
      <c r="R233" s="126"/>
      <c r="S233" s="188"/>
    </row>
    <row r="234" spans="1:23" s="5" customFormat="1" ht="15" customHeight="1">
      <c r="B234" s="290"/>
      <c r="C234" s="826"/>
      <c r="D234" s="722"/>
      <c r="E234" s="23" t="s">
        <v>754</v>
      </c>
      <c r="F234" s="89" t="s">
        <v>21</v>
      </c>
      <c r="G234" s="288">
        <f>1000*G7</f>
        <v>1550000</v>
      </c>
      <c r="H234" s="580">
        <v>1</v>
      </c>
      <c r="I234" s="86">
        <f>+H234*G234</f>
        <v>1550000</v>
      </c>
      <c r="J234" s="86">
        <f>I234*21%</f>
        <v>325500</v>
      </c>
      <c r="K234" s="97">
        <f>I234+J234</f>
        <v>1875500</v>
      </c>
      <c r="L234" s="163"/>
      <c r="M234" s="296"/>
      <c r="O234" s="86">
        <f>I234*0.2</f>
        <v>310000</v>
      </c>
      <c r="P234" s="86">
        <f>I234*0.8</f>
        <v>1240000</v>
      </c>
      <c r="Q234" s="87"/>
      <c r="R234" s="22"/>
      <c r="S234" s="185"/>
    </row>
    <row r="235" spans="1:23" s="121" customFormat="1" ht="15" customHeight="1">
      <c r="B235" s="294"/>
      <c r="C235" s="826"/>
      <c r="D235" s="719" t="s">
        <v>503</v>
      </c>
      <c r="E235" s="864" t="s">
        <v>504</v>
      </c>
      <c r="F235" s="874"/>
      <c r="G235" s="875"/>
      <c r="H235" s="876"/>
      <c r="I235" s="870"/>
      <c r="J235" s="670"/>
      <c r="K235" s="117"/>
      <c r="L235" s="163"/>
      <c r="M235" s="296"/>
      <c r="N235" s="132"/>
      <c r="O235" s="115"/>
      <c r="P235" s="612"/>
      <c r="Q235" s="133"/>
      <c r="R235" s="126"/>
      <c r="S235" s="188"/>
    </row>
    <row r="236" spans="1:23" s="5" customFormat="1" ht="15" customHeight="1">
      <c r="B236" s="290"/>
      <c r="C236" s="826"/>
      <c r="D236" s="722"/>
      <c r="E236" s="877"/>
      <c r="F236" s="878" t="s">
        <v>21</v>
      </c>
      <c r="G236" s="868"/>
      <c r="H236" s="869"/>
      <c r="I236" s="870">
        <f>G236*H236</f>
        <v>0</v>
      </c>
      <c r="J236" s="97">
        <v>0</v>
      </c>
      <c r="K236" s="97">
        <f>I236+J236</f>
        <v>0</v>
      </c>
      <c r="L236" s="163"/>
      <c r="M236" s="296"/>
      <c r="N236" s="86"/>
      <c r="O236" s="86">
        <f>I236*0.5</f>
        <v>0</v>
      </c>
      <c r="P236" s="86">
        <f>I236-O236</f>
        <v>0</v>
      </c>
      <c r="Q236" s="87"/>
      <c r="R236" s="22"/>
      <c r="S236" s="185"/>
    </row>
    <row r="237" spans="1:23" s="5" customFormat="1">
      <c r="B237" s="294"/>
      <c r="C237" s="807"/>
      <c r="D237" s="719" t="s">
        <v>502</v>
      </c>
      <c r="E237" s="857" t="s">
        <v>505</v>
      </c>
      <c r="F237" s="879"/>
      <c r="G237" s="854"/>
      <c r="H237" s="855"/>
      <c r="I237" s="865"/>
      <c r="J237" s="608"/>
      <c r="K237" s="609"/>
      <c r="L237" s="163"/>
      <c r="M237" s="296"/>
      <c r="N237" s="594"/>
      <c r="O237" s="100"/>
      <c r="P237" s="619"/>
      <c r="Q237" s="103"/>
      <c r="R237" s="55"/>
      <c r="S237" s="185"/>
    </row>
    <row r="238" spans="1:23" s="5" customFormat="1">
      <c r="B238" s="294"/>
      <c r="C238" s="807"/>
      <c r="D238" s="722"/>
      <c r="E238" s="880"/>
      <c r="F238" s="881" t="s">
        <v>21</v>
      </c>
      <c r="G238" s="850"/>
      <c r="H238" s="851"/>
      <c r="I238" s="870">
        <f>+H238*G238</f>
        <v>0</v>
      </c>
      <c r="J238" s="616">
        <v>0</v>
      </c>
      <c r="K238" s="97">
        <f>I238+J238</f>
        <v>0</v>
      </c>
      <c r="L238" s="163"/>
      <c r="M238" s="296"/>
      <c r="N238" s="86"/>
      <c r="O238" s="86"/>
      <c r="P238" s="86">
        <f>I238-O238</f>
        <v>0</v>
      </c>
      <c r="Q238" s="103"/>
      <c r="R238" s="55"/>
      <c r="S238" s="185"/>
    </row>
    <row r="239" spans="1:23" s="121" customFormat="1" ht="15" customHeight="1">
      <c r="B239" s="294"/>
      <c r="C239" s="826"/>
      <c r="D239" s="719" t="s">
        <v>506</v>
      </c>
      <c r="E239" s="538" t="s">
        <v>122</v>
      </c>
      <c r="F239" s="835"/>
      <c r="G239" s="669"/>
      <c r="H239" s="672"/>
      <c r="I239" s="86"/>
      <c r="J239" s="670"/>
      <c r="K239" s="117"/>
      <c r="L239" s="163"/>
      <c r="M239" s="296"/>
      <c r="N239" s="594"/>
      <c r="O239" s="100"/>
      <c r="P239" s="619"/>
      <c r="Q239" s="133"/>
      <c r="R239" s="126"/>
      <c r="S239" s="188"/>
    </row>
    <row r="240" spans="1:23" s="5" customFormat="1" ht="15" customHeight="1">
      <c r="B240" s="290"/>
      <c r="C240" s="826"/>
      <c r="D240" s="722"/>
      <c r="E240" s="837" t="s">
        <v>740</v>
      </c>
      <c r="F240" s="836" t="s">
        <v>30</v>
      </c>
      <c r="G240" s="580">
        <f>2500000*G6*122%</f>
        <v>3294000</v>
      </c>
      <c r="H240" s="581">
        <f>G4</f>
        <v>6</v>
      </c>
      <c r="I240" s="580">
        <f>G240*H240</f>
        <v>19764000</v>
      </c>
      <c r="J240" s="580">
        <v>0</v>
      </c>
      <c r="K240" s="97">
        <f>I240+J240</f>
        <v>19764000</v>
      </c>
      <c r="L240" s="215"/>
      <c r="M240" s="296"/>
      <c r="N240" s="580">
        <f>I240*30%</f>
        <v>5929200</v>
      </c>
      <c r="O240" s="580">
        <f>I240*40%</f>
        <v>7905600</v>
      </c>
      <c r="P240" s="580">
        <f>I240*30%</f>
        <v>5929200</v>
      </c>
      <c r="Q240" s="216"/>
      <c r="R240" s="22"/>
      <c r="S240" s="185"/>
    </row>
    <row r="241" spans="1:23" s="67" customFormat="1" ht="15" customHeight="1">
      <c r="A241" s="63"/>
      <c r="B241" s="295"/>
      <c r="C241" s="813">
        <f>SUM(C227:C240)</f>
        <v>0</v>
      </c>
      <c r="D241" s="725"/>
      <c r="E241" s="98"/>
      <c r="F241" s="92"/>
      <c r="G241" s="1041" t="s">
        <v>130</v>
      </c>
      <c r="H241" s="1041"/>
      <c r="I241" s="380">
        <f>SUM(I227:I240)</f>
        <v>44349000</v>
      </c>
      <c r="J241" s="93">
        <f>SUM(J227:J240)</f>
        <v>4023600</v>
      </c>
      <c r="K241" s="93">
        <f>SUM(K227:K240)</f>
        <v>48372600</v>
      </c>
      <c r="L241" s="165"/>
      <c r="M241" s="296"/>
      <c r="N241" s="94">
        <f>SUM(N227:N240)</f>
        <v>5929200</v>
      </c>
      <c r="O241" s="95">
        <f>SUM(O227:O240)</f>
        <v>8215600</v>
      </c>
      <c r="P241" s="96">
        <f>SUM(P227:P240)</f>
        <v>30204200</v>
      </c>
      <c r="Q241" s="379">
        <f>SUM(N241:P241)</f>
        <v>44349000</v>
      </c>
      <c r="R241" s="66"/>
      <c r="S241" s="186"/>
      <c r="W241" s="1"/>
    </row>
    <row r="242" spans="1:23" ht="30" customHeight="1">
      <c r="B242" s="296"/>
      <c r="C242" s="812"/>
      <c r="D242" s="719"/>
      <c r="E242" s="402"/>
      <c r="F242" s="402"/>
      <c r="G242" s="70"/>
      <c r="L242" s="215"/>
      <c r="M242" s="296"/>
      <c r="N242" s="135"/>
      <c r="O242" s="135"/>
      <c r="P242" s="135"/>
      <c r="Q242" s="178"/>
      <c r="R242" s="179"/>
    </row>
    <row r="243" spans="1:23" s="67" customFormat="1" ht="15" customHeight="1">
      <c r="A243" s="63"/>
      <c r="B243" s="293"/>
      <c r="C243" s="811"/>
      <c r="D243" s="755">
        <v>16</v>
      </c>
      <c r="E243" s="45" t="s">
        <v>131</v>
      </c>
      <c r="F243" s="78" t="s">
        <v>18</v>
      </c>
      <c r="G243" s="389" t="s">
        <v>19</v>
      </c>
      <c r="H243" s="364" t="s">
        <v>20</v>
      </c>
      <c r="I243" s="381" t="s">
        <v>9</v>
      </c>
      <c r="J243" s="81" t="s">
        <v>10</v>
      </c>
      <c r="K243" s="81" t="s">
        <v>11</v>
      </c>
      <c r="L243" s="165"/>
      <c r="M243" s="296"/>
      <c r="N243" s="83" t="s">
        <v>12</v>
      </c>
      <c r="O243" s="83" t="s">
        <v>13</v>
      </c>
      <c r="P243" s="83" t="s">
        <v>14</v>
      </c>
      <c r="Q243" s="378" t="s">
        <v>9</v>
      </c>
      <c r="R243" s="82"/>
      <c r="S243" s="186"/>
      <c r="W243" s="1"/>
    </row>
    <row r="244" spans="1:23" s="5" customFormat="1" ht="15" customHeight="1">
      <c r="B244" s="290"/>
      <c r="C244" s="827"/>
      <c r="D244" s="719" t="s">
        <v>510</v>
      </c>
      <c r="E244" s="122" t="s">
        <v>507</v>
      </c>
      <c r="F244" s="542"/>
      <c r="G244" s="601"/>
      <c r="H244" s="606"/>
      <c r="I244" s="674"/>
      <c r="J244" s="608"/>
      <c r="K244" s="609"/>
      <c r="L244" s="163"/>
      <c r="M244" s="296"/>
      <c r="N244" s="132"/>
      <c r="O244" s="115"/>
      <c r="P244" s="612"/>
      <c r="Q244" s="87"/>
      <c r="R244" s="22"/>
      <c r="S244" s="185"/>
    </row>
    <row r="245" spans="1:23" ht="15" customHeight="1">
      <c r="A245" s="5"/>
      <c r="B245" s="294"/>
      <c r="C245" s="812"/>
      <c r="D245" s="719"/>
      <c r="E245" s="689" t="s">
        <v>340</v>
      </c>
      <c r="F245" s="107" t="s">
        <v>33</v>
      </c>
      <c r="G245" s="288">
        <f>G6*450000</f>
        <v>486000.00000000006</v>
      </c>
      <c r="H245" s="580">
        <f>'Equ. Tec. x SICA'!G535+'Equ. Tec. x SICA'!G531</f>
        <v>15</v>
      </c>
      <c r="I245" s="86">
        <f>+G245*H245</f>
        <v>7290000.0000000009</v>
      </c>
      <c r="J245" s="97">
        <f>I245*21%</f>
        <v>1530900.0000000002</v>
      </c>
      <c r="K245" s="97">
        <f>I245+J245</f>
        <v>8820900.0000000019</v>
      </c>
      <c r="L245" s="163"/>
      <c r="M245" s="296"/>
      <c r="N245" s="86"/>
      <c r="O245" s="86">
        <f>I245*30%</f>
        <v>2187000</v>
      </c>
      <c r="P245" s="86">
        <f>I245-O245</f>
        <v>5103000.0000000009</v>
      </c>
      <c r="Q245" s="87"/>
      <c r="R245" s="55"/>
      <c r="S245" s="185"/>
    </row>
    <row r="246" spans="1:23" s="5" customFormat="1" ht="15" customHeight="1">
      <c r="B246" s="290"/>
      <c r="C246" s="827"/>
      <c r="D246" s="719" t="s">
        <v>511</v>
      </c>
      <c r="E246" s="122" t="s">
        <v>508</v>
      </c>
      <c r="F246" s="535"/>
      <c r="G246" s="637"/>
      <c r="H246" s="638"/>
      <c r="I246" s="671"/>
      <c r="J246" s="608"/>
      <c r="K246" s="609"/>
      <c r="L246" s="163"/>
      <c r="M246" s="296"/>
      <c r="N246" s="132"/>
      <c r="O246" s="115"/>
      <c r="P246" s="612"/>
      <c r="Q246" s="87"/>
      <c r="R246" s="22"/>
      <c r="S246" s="185"/>
    </row>
    <row r="247" spans="1:23" ht="15" customHeight="1">
      <c r="A247" s="5"/>
      <c r="B247" s="294"/>
      <c r="C247" s="812"/>
      <c r="D247" s="719"/>
      <c r="E247" s="23" t="s">
        <v>343</v>
      </c>
      <c r="F247" s="89" t="s">
        <v>21</v>
      </c>
      <c r="G247" s="288">
        <f>G6*2200000*122%</f>
        <v>2898720</v>
      </c>
      <c r="H247" s="580">
        <v>1</v>
      </c>
      <c r="I247" s="86">
        <f>+G247*H247</f>
        <v>2898720</v>
      </c>
      <c r="J247" s="97">
        <f>I247*21%</f>
        <v>608731.19999999995</v>
      </c>
      <c r="K247" s="97">
        <f>I247+J247</f>
        <v>3507451.2</v>
      </c>
      <c r="L247" s="163"/>
      <c r="M247" s="296"/>
      <c r="N247" s="86"/>
      <c r="O247" s="86"/>
      <c r="P247" s="86">
        <f>I247</f>
        <v>2898720</v>
      </c>
      <c r="Q247" s="133"/>
      <c r="R247" s="55"/>
      <c r="S247" s="185"/>
    </row>
    <row r="248" spans="1:23" s="121" customFormat="1" ht="15" customHeight="1">
      <c r="B248" s="294"/>
      <c r="C248" s="826"/>
      <c r="D248" s="719" t="s">
        <v>512</v>
      </c>
      <c r="E248" s="122" t="s">
        <v>509</v>
      </c>
      <c r="F248" s="535"/>
      <c r="G248" s="637"/>
      <c r="H248" s="638"/>
      <c r="I248" s="671"/>
      <c r="J248" s="608"/>
      <c r="K248" s="609"/>
      <c r="L248" s="163"/>
      <c r="M248" s="296"/>
      <c r="N248" s="132"/>
      <c r="O248" s="115"/>
      <c r="P248" s="612"/>
      <c r="Q248" s="133"/>
      <c r="R248" s="126"/>
      <c r="S248" s="188"/>
    </row>
    <row r="249" spans="1:23" s="5" customFormat="1" ht="15">
      <c r="B249" s="290"/>
      <c r="C249" s="827"/>
      <c r="D249" s="722"/>
      <c r="E249" s="271"/>
      <c r="F249" s="466"/>
      <c r="G249" s="288"/>
      <c r="H249" s="580"/>
      <c r="I249" s="86">
        <f>+H249*G249</f>
        <v>0</v>
      </c>
      <c r="J249" s="86">
        <v>0</v>
      </c>
      <c r="K249" s="618">
        <f>I249+J249</f>
        <v>0</v>
      </c>
      <c r="L249" s="163"/>
      <c r="M249" s="296"/>
      <c r="N249" s="86"/>
      <c r="O249" s="86">
        <f>I249</f>
        <v>0</v>
      </c>
      <c r="P249" s="86"/>
      <c r="Q249" s="87"/>
      <c r="R249" s="22"/>
      <c r="S249" s="185"/>
    </row>
    <row r="250" spans="1:23" s="121" customFormat="1" ht="15" customHeight="1">
      <c r="B250" s="294"/>
      <c r="C250" s="812"/>
      <c r="D250" s="719" t="s">
        <v>513</v>
      </c>
      <c r="E250" s="122" t="s">
        <v>122</v>
      </c>
      <c r="F250" s="139"/>
      <c r="G250" s="669"/>
      <c r="H250" s="365"/>
      <c r="I250" s="141"/>
      <c r="J250" s="142"/>
      <c r="K250" s="143"/>
      <c r="L250" s="163"/>
      <c r="M250" s="296"/>
      <c r="N250" s="139"/>
      <c r="O250" s="140"/>
      <c r="P250" s="129"/>
      <c r="Q250" s="144"/>
      <c r="R250" s="126"/>
      <c r="S250" s="188"/>
      <c r="U250" s="443"/>
    </row>
    <row r="251" spans="1:23" ht="15" customHeight="1">
      <c r="A251" s="5"/>
      <c r="B251" s="294"/>
      <c r="C251" s="812"/>
      <c r="D251" s="719"/>
      <c r="E251" s="690" t="s">
        <v>353</v>
      </c>
      <c r="F251" s="89" t="s">
        <v>21</v>
      </c>
      <c r="G251" s="841">
        <f>G6*100000</f>
        <v>108000</v>
      </c>
      <c r="H251" s="580">
        <v>1</v>
      </c>
      <c r="I251" s="86">
        <f>+G251*H251</f>
        <v>108000</v>
      </c>
      <c r="J251" s="97"/>
      <c r="K251" s="97">
        <f>I251</f>
        <v>108000</v>
      </c>
      <c r="L251" s="163"/>
      <c r="M251" s="296"/>
      <c r="N251" s="86"/>
      <c r="O251" s="86">
        <f>I251*50%</f>
        <v>54000</v>
      </c>
      <c r="P251" s="86">
        <f>I251*50%</f>
        <v>54000</v>
      </c>
      <c r="Q251" s="133"/>
      <c r="R251" s="55"/>
      <c r="S251" s="185"/>
    </row>
    <row r="252" spans="1:23" s="67" customFormat="1" ht="15" customHeight="1">
      <c r="A252" s="63"/>
      <c r="B252" s="295"/>
      <c r="C252" s="830">
        <f>SUM(C244:C251)</f>
        <v>0</v>
      </c>
      <c r="D252" s="725"/>
      <c r="E252" s="98"/>
      <c r="F252" s="92"/>
      <c r="G252" s="1041" t="s">
        <v>132</v>
      </c>
      <c r="H252" s="1041"/>
      <c r="I252" s="380">
        <f>SUM(I244:I251)</f>
        <v>10296720</v>
      </c>
      <c r="J252" s="93">
        <f>SUM(J244:J251)</f>
        <v>2139631.2000000002</v>
      </c>
      <c r="K252" s="93">
        <f>SUM(K244:K251)</f>
        <v>12436351.200000003</v>
      </c>
      <c r="L252" s="165"/>
      <c r="M252" s="296"/>
      <c r="N252" s="94">
        <f>SUM(N244:N251)</f>
        <v>0</v>
      </c>
      <c r="O252" s="95">
        <f>SUM(O244:O251)</f>
        <v>2241000</v>
      </c>
      <c r="P252" s="96">
        <f>SUM(P244:P251)</f>
        <v>8055720.0000000009</v>
      </c>
      <c r="Q252" s="379">
        <f>SUM(N252:P252)</f>
        <v>10296720</v>
      </c>
      <c r="R252" s="66"/>
      <c r="S252" s="186"/>
      <c r="W252" s="1"/>
    </row>
    <row r="253" spans="1:23" ht="30" customHeight="1">
      <c r="B253" s="296"/>
      <c r="C253" s="812"/>
      <c r="D253" s="719"/>
      <c r="E253" s="402"/>
      <c r="F253" s="403"/>
      <c r="G253" s="70"/>
      <c r="I253" s="70"/>
      <c r="J253" s="70"/>
      <c r="K253" s="2"/>
      <c r="L253" s="215"/>
      <c r="M253" s="296"/>
      <c r="N253" s="135"/>
      <c r="O253" s="135"/>
      <c r="P253" s="135"/>
      <c r="Q253" s="178"/>
      <c r="R253" s="179"/>
    </row>
    <row r="254" spans="1:23" s="67" customFormat="1" ht="15" customHeight="1">
      <c r="A254" s="63"/>
      <c r="B254" s="293"/>
      <c r="C254" s="811"/>
      <c r="D254" s="755">
        <v>17</v>
      </c>
      <c r="E254" s="45" t="s">
        <v>524</v>
      </c>
      <c r="F254" s="78" t="s">
        <v>133</v>
      </c>
      <c r="G254" s="389" t="s">
        <v>19</v>
      </c>
      <c r="H254" s="364" t="s">
        <v>20</v>
      </c>
      <c r="I254" s="381" t="s">
        <v>134</v>
      </c>
      <c r="J254" s="81" t="s">
        <v>10</v>
      </c>
      <c r="K254" s="81" t="s">
        <v>9</v>
      </c>
      <c r="L254" s="165"/>
      <c r="M254" s="296"/>
      <c r="N254" s="83" t="s">
        <v>12</v>
      </c>
      <c r="O254" s="83" t="s">
        <v>13</v>
      </c>
      <c r="P254" s="83" t="s">
        <v>14</v>
      </c>
      <c r="Q254" s="378" t="s">
        <v>9</v>
      </c>
      <c r="R254" s="82"/>
      <c r="S254" s="186"/>
      <c r="W254" s="1"/>
    </row>
    <row r="255" spans="1:23" ht="15" customHeight="1">
      <c r="A255" s="5"/>
      <c r="B255" s="294"/>
      <c r="C255" s="812"/>
      <c r="D255" s="719" t="s">
        <v>516</v>
      </c>
      <c r="E255" s="138" t="s">
        <v>525</v>
      </c>
      <c r="F255" s="136"/>
      <c r="G255" s="675"/>
      <c r="H255" s="612"/>
      <c r="I255" s="103"/>
      <c r="J255" s="676"/>
      <c r="K255" s="104"/>
      <c r="L255" s="163"/>
      <c r="M255" s="296"/>
      <c r="N255" s="594"/>
      <c r="O255" s="100"/>
      <c r="P255" s="619"/>
      <c r="Q255" s="87"/>
      <c r="R255" s="55"/>
      <c r="S255" s="185"/>
    </row>
    <row r="256" spans="1:23" ht="15" customHeight="1">
      <c r="A256" s="5"/>
      <c r="B256" s="294"/>
      <c r="C256" s="812"/>
      <c r="D256" s="719"/>
      <c r="E256" s="444" t="s">
        <v>326</v>
      </c>
      <c r="F256" s="137"/>
      <c r="G256" s="100"/>
      <c r="H256" s="619"/>
      <c r="I256" s="103"/>
      <c r="J256" s="676"/>
      <c r="K256" s="104"/>
      <c r="L256" s="163"/>
      <c r="M256" s="296"/>
      <c r="N256" s="594"/>
      <c r="O256" s="100"/>
      <c r="P256" s="619"/>
      <c r="Q256" s="87"/>
      <c r="R256" s="55"/>
      <c r="S256" s="185"/>
    </row>
    <row r="257" spans="1:19">
      <c r="A257" s="5"/>
      <c r="B257" s="294"/>
      <c r="C257" s="812"/>
      <c r="D257" s="719"/>
      <c r="E257" s="397" t="s">
        <v>135</v>
      </c>
      <c r="F257" s="137"/>
      <c r="G257" s="100"/>
      <c r="H257" s="619"/>
      <c r="I257" s="103"/>
      <c r="J257" s="676"/>
      <c r="K257" s="104"/>
      <c r="L257" s="163"/>
      <c r="M257" s="296"/>
      <c r="N257" s="594"/>
      <c r="O257" s="100"/>
      <c r="P257" s="619"/>
      <c r="Q257" s="87"/>
      <c r="R257" s="55"/>
      <c r="S257" s="185"/>
    </row>
    <row r="258" spans="1:19">
      <c r="A258" s="5"/>
      <c r="B258" s="294"/>
      <c r="C258" s="812"/>
      <c r="D258" s="719"/>
      <c r="E258" s="691" t="s">
        <v>536</v>
      </c>
      <c r="F258" s="137"/>
      <c r="G258" s="100"/>
      <c r="H258" s="619"/>
      <c r="I258" s="103"/>
      <c r="J258" s="676"/>
      <c r="K258" s="104"/>
      <c r="L258" s="163"/>
      <c r="M258" s="296"/>
      <c r="N258" s="594"/>
      <c r="O258" s="100"/>
      <c r="P258" s="619"/>
      <c r="Q258" s="87"/>
      <c r="R258" s="55"/>
      <c r="S258" s="185"/>
    </row>
    <row r="259" spans="1:19">
      <c r="A259" s="5"/>
      <c r="B259" s="294"/>
      <c r="C259" s="812"/>
      <c r="D259" s="719"/>
      <c r="E259" s="397" t="s">
        <v>131</v>
      </c>
      <c r="F259" s="137"/>
      <c r="G259" s="100"/>
      <c r="H259" s="619"/>
      <c r="I259" s="103"/>
      <c r="J259" s="676"/>
      <c r="K259" s="104"/>
      <c r="L259" s="163"/>
      <c r="M259" s="296"/>
      <c r="N259" s="594"/>
      <c r="O259" s="100"/>
      <c r="P259" s="619"/>
      <c r="Q259" s="87"/>
      <c r="R259" s="55"/>
      <c r="S259" s="185"/>
    </row>
    <row r="260" spans="1:19">
      <c r="A260" s="5"/>
      <c r="B260" s="294"/>
      <c r="C260" s="812"/>
      <c r="D260" s="719"/>
      <c r="E260" s="691" t="s">
        <v>534</v>
      </c>
      <c r="F260" s="137"/>
      <c r="G260" s="100"/>
      <c r="H260" s="619"/>
      <c r="I260" s="103"/>
      <c r="J260" s="676"/>
      <c r="K260" s="104"/>
      <c r="L260" s="163"/>
      <c r="M260" s="296"/>
      <c r="N260" s="594"/>
      <c r="O260" s="100"/>
      <c r="P260" s="619"/>
      <c r="Q260" s="87"/>
      <c r="R260" s="55"/>
      <c r="S260" s="185"/>
    </row>
    <row r="261" spans="1:19">
      <c r="A261" s="5"/>
      <c r="B261" s="294"/>
      <c r="C261" s="812"/>
      <c r="D261" s="719"/>
      <c r="E261" s="691" t="s">
        <v>535</v>
      </c>
      <c r="F261" s="137"/>
      <c r="G261" s="100"/>
      <c r="H261" s="619"/>
      <c r="I261" s="103"/>
      <c r="J261" s="676"/>
      <c r="K261" s="104"/>
      <c r="L261" s="163"/>
      <c r="M261" s="296"/>
      <c r="N261" s="594"/>
      <c r="O261" s="100"/>
      <c r="P261" s="619"/>
      <c r="Q261" s="87"/>
      <c r="R261" s="55"/>
      <c r="S261" s="185"/>
    </row>
    <row r="262" spans="1:19">
      <c r="A262" s="5"/>
      <c r="B262" s="294"/>
      <c r="C262" s="812"/>
      <c r="D262" s="719"/>
      <c r="E262" s="691" t="s">
        <v>345</v>
      </c>
      <c r="F262" s="137"/>
      <c r="G262" s="100"/>
      <c r="H262" s="619"/>
      <c r="I262" s="103"/>
      <c r="J262" s="676"/>
      <c r="K262" s="104"/>
      <c r="L262" s="163"/>
      <c r="M262" s="296"/>
      <c r="N262" s="594"/>
      <c r="O262" s="100"/>
      <c r="P262" s="619"/>
      <c r="Q262" s="87"/>
      <c r="R262" s="55"/>
      <c r="S262" s="185"/>
    </row>
    <row r="263" spans="1:19">
      <c r="A263" s="5"/>
      <c r="B263" s="294"/>
      <c r="C263" s="812"/>
      <c r="D263" s="719"/>
      <c r="E263" s="691" t="s">
        <v>752</v>
      </c>
      <c r="F263" s="137"/>
      <c r="G263" s="100"/>
      <c r="H263" s="619"/>
      <c r="I263" s="103"/>
      <c r="J263" s="676"/>
      <c r="K263" s="104"/>
      <c r="L263" s="163"/>
      <c r="M263" s="296"/>
      <c r="N263" s="594"/>
      <c r="O263" s="100"/>
      <c r="P263" s="619"/>
      <c r="Q263" s="87"/>
      <c r="R263" s="55"/>
      <c r="S263" s="185"/>
    </row>
    <row r="264" spans="1:19" ht="15" customHeight="1">
      <c r="A264" s="5"/>
      <c r="B264" s="294"/>
      <c r="C264" s="812"/>
      <c r="D264" s="719"/>
      <c r="E264" s="441" t="s">
        <v>341</v>
      </c>
      <c r="F264" s="287" t="s">
        <v>234</v>
      </c>
      <c r="G264" s="288">
        <v>24000000</v>
      </c>
      <c r="H264" s="580">
        <v>1</v>
      </c>
      <c r="I264" s="86">
        <f>+G264*H264</f>
        <v>24000000</v>
      </c>
      <c r="J264" s="97">
        <f>I264*21%</f>
        <v>5040000</v>
      </c>
      <c r="K264" s="97">
        <f>I264+J264</f>
        <v>29040000</v>
      </c>
      <c r="L264" s="163"/>
      <c r="M264" s="296"/>
      <c r="N264" s="86"/>
      <c r="O264" s="86">
        <f>I264*30%</f>
        <v>7200000</v>
      </c>
      <c r="P264" s="86">
        <f>I264-O264</f>
        <v>16800000</v>
      </c>
      <c r="Q264" s="87"/>
      <c r="R264" s="55"/>
      <c r="S264" s="185"/>
    </row>
    <row r="265" spans="1:19" s="121" customFormat="1" ht="15" customHeight="1">
      <c r="B265" s="294"/>
      <c r="C265" s="826"/>
      <c r="D265" s="719" t="s">
        <v>517</v>
      </c>
      <c r="E265" s="182" t="s">
        <v>526</v>
      </c>
      <c r="F265" s="132"/>
      <c r="G265" s="669"/>
      <c r="H265" s="612"/>
      <c r="I265" s="86"/>
      <c r="J265" s="670"/>
      <c r="K265" s="117"/>
      <c r="L265" s="163"/>
      <c r="M265" s="296"/>
      <c r="N265" s="132"/>
      <c r="O265" s="115"/>
      <c r="P265" s="612"/>
      <c r="Q265" s="133"/>
      <c r="R265" s="126"/>
      <c r="S265" s="188"/>
    </row>
    <row r="266" spans="1:19" s="5" customFormat="1" ht="15" customHeight="1">
      <c r="B266" s="290"/>
      <c r="C266" s="826"/>
      <c r="D266" s="719"/>
      <c r="E266" s="692" t="s">
        <v>537</v>
      </c>
      <c r="F266" s="89"/>
      <c r="G266" s="288"/>
      <c r="H266" s="86"/>
      <c r="I266" s="86">
        <f>H266*G266</f>
        <v>0</v>
      </c>
      <c r="J266" s="86">
        <f>I266*21%</f>
        <v>0</v>
      </c>
      <c r="K266" s="86">
        <f>I266+J266</f>
        <v>0</v>
      </c>
      <c r="L266" s="163"/>
      <c r="M266" s="296"/>
      <c r="N266" s="86">
        <f>I266*0.8</f>
        <v>0</v>
      </c>
      <c r="O266" s="86">
        <f>I266*0.2</f>
        <v>0</v>
      </c>
      <c r="P266" s="86"/>
      <c r="Q266" s="87"/>
      <c r="R266" s="22"/>
      <c r="S266" s="185"/>
    </row>
    <row r="267" spans="1:19" s="5" customFormat="1">
      <c r="B267" s="294"/>
      <c r="C267" s="807"/>
      <c r="D267" s="719" t="s">
        <v>518</v>
      </c>
      <c r="E267" s="882" t="s">
        <v>527</v>
      </c>
      <c r="F267" s="519"/>
      <c r="G267" s="637"/>
      <c r="H267" s="638"/>
      <c r="I267" s="671"/>
      <c r="J267" s="608"/>
      <c r="K267" s="609"/>
      <c r="L267" s="163"/>
      <c r="M267" s="296"/>
      <c r="N267" s="594"/>
      <c r="O267" s="100"/>
      <c r="P267" s="619"/>
      <c r="Q267" s="103"/>
      <c r="R267" s="55"/>
      <c r="S267" s="185"/>
    </row>
    <row r="268" spans="1:19" s="5" customFormat="1">
      <c r="B268" s="294"/>
      <c r="C268" s="807"/>
      <c r="D268" s="722"/>
      <c r="E268" s="692" t="s">
        <v>537</v>
      </c>
      <c r="F268" s="541"/>
      <c r="G268" s="613"/>
      <c r="H268" s="614"/>
      <c r="I268" s="602"/>
      <c r="J268" s="616">
        <v>0</v>
      </c>
      <c r="K268" s="616">
        <f>J268</f>
        <v>0</v>
      </c>
      <c r="L268" s="163"/>
      <c r="M268" s="296"/>
      <c r="N268" s="594"/>
      <c r="O268" s="100"/>
      <c r="P268" s="619"/>
      <c r="Q268" s="103"/>
      <c r="R268" s="55"/>
      <c r="S268" s="185"/>
    </row>
    <row r="269" spans="1:19" s="121" customFormat="1" ht="15" customHeight="1">
      <c r="B269" s="294"/>
      <c r="C269" s="826"/>
      <c r="D269" s="719" t="s">
        <v>519</v>
      </c>
      <c r="E269" s="182" t="s">
        <v>528</v>
      </c>
      <c r="F269" s="132"/>
      <c r="G269" s="669"/>
      <c r="H269" s="612"/>
      <c r="I269" s="86"/>
      <c r="J269" s="670"/>
      <c r="K269" s="117"/>
      <c r="L269" s="163"/>
      <c r="M269" s="296"/>
      <c r="N269" s="594"/>
      <c r="O269" s="100"/>
      <c r="P269" s="619"/>
      <c r="Q269" s="133"/>
      <c r="R269" s="126"/>
      <c r="S269" s="188"/>
    </row>
    <row r="270" spans="1:19" s="5" customFormat="1" ht="15" customHeight="1">
      <c r="B270" s="290"/>
      <c r="C270" s="826"/>
      <c r="D270" s="722"/>
      <c r="E270" s="692" t="s">
        <v>537</v>
      </c>
      <c r="F270" s="89"/>
      <c r="G270" s="288"/>
      <c r="H270" s="86"/>
      <c r="I270" s="86">
        <f>H270*G270</f>
        <v>0</v>
      </c>
      <c r="J270" s="86">
        <f>I270*21%</f>
        <v>0</v>
      </c>
      <c r="K270" s="86">
        <f>I270+J270</f>
        <v>0</v>
      </c>
      <c r="L270" s="163"/>
      <c r="M270" s="296"/>
      <c r="N270" s="86">
        <f>I270*0.8</f>
        <v>0</v>
      </c>
      <c r="O270" s="86">
        <f>I270*0.2</f>
        <v>0</v>
      </c>
      <c r="P270" s="86"/>
      <c r="Q270" s="87"/>
      <c r="R270" s="22"/>
      <c r="S270" s="185"/>
    </row>
    <row r="271" spans="1:19" s="121" customFormat="1" ht="15" customHeight="1">
      <c r="B271" s="294"/>
      <c r="C271" s="826"/>
      <c r="D271" s="719" t="s">
        <v>520</v>
      </c>
      <c r="E271" s="182" t="s">
        <v>529</v>
      </c>
      <c r="F271" s="136"/>
      <c r="G271" s="675"/>
      <c r="H271" s="612"/>
      <c r="I271" s="103"/>
      <c r="J271" s="676"/>
      <c r="K271" s="104"/>
      <c r="L271" s="163"/>
      <c r="M271" s="296"/>
      <c r="N271" s="594"/>
      <c r="O271" s="100"/>
      <c r="P271" s="619"/>
      <c r="Q271" s="87"/>
      <c r="R271" s="126"/>
      <c r="S271" s="188"/>
    </row>
    <row r="272" spans="1:19">
      <c r="A272" s="5"/>
      <c r="B272" s="294"/>
      <c r="C272" s="812"/>
      <c r="D272" s="719"/>
      <c r="E272" s="883" t="s">
        <v>339</v>
      </c>
      <c r="F272" s="137"/>
      <c r="G272" s="100"/>
      <c r="H272" s="619"/>
      <c r="I272" s="103"/>
      <c r="J272" s="676"/>
      <c r="K272" s="104"/>
      <c r="L272" s="163"/>
      <c r="M272" s="296"/>
      <c r="N272" s="594"/>
      <c r="O272" s="100"/>
      <c r="P272" s="619"/>
      <c r="Q272" s="87"/>
      <c r="R272" s="55"/>
      <c r="S272" s="185"/>
    </row>
    <row r="273" spans="1:23">
      <c r="A273" s="5"/>
      <c r="B273" s="294"/>
      <c r="C273" s="812"/>
      <c r="D273" s="719"/>
      <c r="E273" s="692" t="s">
        <v>344</v>
      </c>
      <c r="F273" s="137"/>
      <c r="G273" s="100"/>
      <c r="H273" s="619"/>
      <c r="I273" s="103"/>
      <c r="J273" s="676"/>
      <c r="K273" s="104"/>
      <c r="L273" s="163"/>
      <c r="M273" s="296"/>
      <c r="N273" s="594"/>
      <c r="O273" s="100"/>
      <c r="P273" s="619"/>
      <c r="Q273" s="87"/>
      <c r="R273" s="55"/>
      <c r="S273" s="185"/>
    </row>
    <row r="274" spans="1:23">
      <c r="A274" s="5"/>
      <c r="B274" s="294"/>
      <c r="C274" s="812"/>
      <c r="D274" s="719"/>
      <c r="E274" s="692" t="s">
        <v>753</v>
      </c>
      <c r="F274" s="137"/>
      <c r="G274" s="100"/>
      <c r="H274" s="693" t="s">
        <v>532</v>
      </c>
      <c r="I274" s="103"/>
      <c r="J274" s="676"/>
      <c r="K274" s="104"/>
      <c r="L274" s="163"/>
      <c r="M274" s="296"/>
      <c r="N274" s="594"/>
      <c r="O274" s="100"/>
      <c r="P274" s="619"/>
      <c r="Q274" s="87"/>
      <c r="R274" s="55"/>
      <c r="S274" s="185"/>
    </row>
    <row r="275" spans="1:23" ht="15" customHeight="1">
      <c r="A275" s="5"/>
      <c r="B275" s="294"/>
      <c r="C275" s="812"/>
      <c r="D275" s="719"/>
      <c r="E275" s="884" t="s">
        <v>533</v>
      </c>
      <c r="F275" s="908" t="s">
        <v>342</v>
      </c>
      <c r="G275" s="615">
        <f>800*G7</f>
        <v>1240000</v>
      </c>
      <c r="H275" s="909">
        <v>8</v>
      </c>
      <c r="I275" s="580">
        <f>+G275*H275</f>
        <v>9920000</v>
      </c>
      <c r="J275" s="655">
        <f>I275*21%</f>
        <v>2083200</v>
      </c>
      <c r="K275" s="655">
        <f>I275+J275</f>
        <v>12003200</v>
      </c>
      <c r="L275" s="163"/>
      <c r="M275" s="296"/>
      <c r="N275" s="86"/>
      <c r="O275" s="86">
        <f>I275*30%</f>
        <v>2976000</v>
      </c>
      <c r="P275" s="86">
        <f>I275-O275</f>
        <v>6944000</v>
      </c>
      <c r="Q275" s="87"/>
      <c r="R275" s="55"/>
      <c r="S275" s="185"/>
    </row>
    <row r="276" spans="1:23" s="121" customFormat="1" ht="15" customHeight="1">
      <c r="B276" s="294"/>
      <c r="C276" s="826"/>
      <c r="D276" s="719" t="s">
        <v>521</v>
      </c>
      <c r="E276" s="182" t="s">
        <v>530</v>
      </c>
      <c r="F276" s="132"/>
      <c r="G276" s="734"/>
      <c r="H276" s="672"/>
      <c r="I276" s="86"/>
      <c r="J276" s="670"/>
      <c r="K276" s="117"/>
      <c r="L276" s="163"/>
      <c r="M276" s="296"/>
      <c r="N276" s="132"/>
      <c r="O276" s="115"/>
      <c r="P276" s="612"/>
      <c r="Q276" s="133"/>
      <c r="R276" s="126"/>
      <c r="S276" s="188"/>
    </row>
    <row r="277" spans="1:23" s="5" customFormat="1" ht="15" customHeight="1">
      <c r="B277" s="290"/>
      <c r="C277" s="826"/>
      <c r="D277" s="722"/>
      <c r="E277" s="692" t="s">
        <v>537</v>
      </c>
      <c r="F277" s="89" t="s">
        <v>21</v>
      </c>
      <c r="G277" s="288"/>
      <c r="H277" s="580">
        <v>1</v>
      </c>
      <c r="I277" s="86">
        <f>G277*H277</f>
        <v>0</v>
      </c>
      <c r="J277" s="97">
        <v>0</v>
      </c>
      <c r="K277" s="97">
        <f>I277+J277</f>
        <v>0</v>
      </c>
      <c r="L277" s="163"/>
      <c r="M277" s="296"/>
      <c r="N277" s="86"/>
      <c r="O277" s="86">
        <f>I277*0.5</f>
        <v>0</v>
      </c>
      <c r="P277" s="86">
        <f>I277-O277</f>
        <v>0</v>
      </c>
      <c r="Q277" s="87"/>
      <c r="R277" s="22"/>
      <c r="S277" s="185"/>
    </row>
    <row r="278" spans="1:23" s="5" customFormat="1">
      <c r="B278" s="294"/>
      <c r="C278" s="807"/>
      <c r="D278" s="719" t="s">
        <v>522</v>
      </c>
      <c r="E278" s="857" t="s">
        <v>531</v>
      </c>
      <c r="F278" s="879"/>
      <c r="G278" s="854"/>
      <c r="H278" s="855"/>
      <c r="I278" s="865"/>
      <c r="J278" s="608"/>
      <c r="K278" s="609"/>
      <c r="L278" s="163"/>
      <c r="M278" s="296"/>
      <c r="N278" s="594"/>
      <c r="O278" s="100"/>
      <c r="P278" s="619"/>
      <c r="Q278" s="103"/>
      <c r="R278" s="55"/>
      <c r="S278" s="185"/>
    </row>
    <row r="279" spans="1:23" s="5" customFormat="1">
      <c r="B279" s="294"/>
      <c r="C279" s="807"/>
      <c r="D279" s="722"/>
      <c r="E279" s="859"/>
      <c r="F279" s="881"/>
      <c r="G279" s="850"/>
      <c r="H279" s="851"/>
      <c r="I279" s="852"/>
      <c r="J279" s="616">
        <v>0</v>
      </c>
      <c r="K279" s="616">
        <f>J279</f>
        <v>0</v>
      </c>
      <c r="L279" s="163"/>
      <c r="M279" s="296"/>
      <c r="N279" s="594"/>
      <c r="O279" s="100"/>
      <c r="P279" s="619"/>
      <c r="Q279" s="103"/>
      <c r="R279" s="55"/>
      <c r="S279" s="185"/>
    </row>
    <row r="280" spans="1:23" s="121" customFormat="1" ht="15" customHeight="1">
      <c r="B280" s="294"/>
      <c r="C280" s="826"/>
      <c r="D280" s="719" t="s">
        <v>523</v>
      </c>
      <c r="E280" s="122" t="s">
        <v>122</v>
      </c>
      <c r="F280" s="132"/>
      <c r="G280" s="669"/>
      <c r="H280" s="672"/>
      <c r="I280" s="86"/>
      <c r="J280" s="670"/>
      <c r="K280" s="117"/>
      <c r="L280" s="163"/>
      <c r="M280" s="296"/>
      <c r="N280" s="594"/>
      <c r="O280" s="100"/>
      <c r="P280" s="619"/>
      <c r="Q280" s="133"/>
      <c r="R280" s="126"/>
      <c r="S280" s="188"/>
    </row>
    <row r="281" spans="1:23" s="5" customFormat="1" ht="15" customHeight="1">
      <c r="B281" s="290"/>
      <c r="C281" s="826"/>
      <c r="D281" s="722"/>
      <c r="E281" s="673"/>
      <c r="F281" s="89" t="s">
        <v>21</v>
      </c>
      <c r="G281" s="288"/>
      <c r="H281" s="580">
        <v>1</v>
      </c>
      <c r="I281" s="86">
        <f>H281*G281</f>
        <v>0</v>
      </c>
      <c r="J281" s="86">
        <f>I281*21%</f>
        <v>0</v>
      </c>
      <c r="K281" s="86">
        <f>I281+J281</f>
        <v>0</v>
      </c>
      <c r="L281" s="163"/>
      <c r="M281" s="296"/>
      <c r="N281" s="86">
        <f>I281*0.8</f>
        <v>0</v>
      </c>
      <c r="O281" s="86">
        <f>I281*0.2</f>
        <v>0</v>
      </c>
      <c r="P281" s="86"/>
      <c r="Q281" s="87"/>
      <c r="R281" s="22"/>
      <c r="S281" s="185"/>
    </row>
    <row r="282" spans="1:23" s="67" customFormat="1" ht="15" customHeight="1">
      <c r="A282" s="63"/>
      <c r="B282" s="295"/>
      <c r="C282" s="830">
        <f>SUM(C255:C281)</f>
        <v>0</v>
      </c>
      <c r="D282" s="725"/>
      <c r="E282" s="98"/>
      <c r="F282" s="92"/>
      <c r="G282" s="1041" t="s">
        <v>136</v>
      </c>
      <c r="H282" s="1041"/>
      <c r="I282" s="380">
        <f>SUM(I255:I281)</f>
        <v>33920000</v>
      </c>
      <c r="J282" s="93">
        <f>SUM(J257:J281)</f>
        <v>7123200</v>
      </c>
      <c r="K282" s="93">
        <f>SUM(K257:K281)</f>
        <v>41043200</v>
      </c>
      <c r="L282" s="165"/>
      <c r="M282" s="296"/>
      <c r="N282" s="94">
        <f>SUM(N257:N281)</f>
        <v>0</v>
      </c>
      <c r="O282" s="95">
        <f>SUM(O257:O281)</f>
        <v>10176000</v>
      </c>
      <c r="P282" s="96">
        <f>SUM(P257:P281)</f>
        <v>23744000</v>
      </c>
      <c r="Q282" s="379">
        <f>SUM(N282:P282)</f>
        <v>33920000</v>
      </c>
      <c r="R282" s="66"/>
      <c r="S282" s="186"/>
      <c r="W282" s="1"/>
    </row>
    <row r="283" spans="1:23" ht="30" customHeight="1">
      <c r="B283" s="296"/>
      <c r="D283" s="726"/>
      <c r="E283" s="70"/>
      <c r="F283" s="70"/>
      <c r="G283" s="70"/>
      <c r="H283" s="70"/>
      <c r="I283" s="70"/>
      <c r="J283" s="70"/>
      <c r="K283" s="2"/>
      <c r="L283" s="215"/>
      <c r="M283" s="296"/>
      <c r="N283" s="135"/>
      <c r="O283" s="135"/>
      <c r="P283" s="135"/>
      <c r="Q283" s="178"/>
      <c r="R283" s="179"/>
    </row>
    <row r="284" spans="1:23" s="67" customFormat="1" ht="15" customHeight="1">
      <c r="A284" s="63"/>
      <c r="B284" s="293"/>
      <c r="C284" s="811"/>
      <c r="D284" s="755">
        <v>18</v>
      </c>
      <c r="E284" s="45" t="s">
        <v>546</v>
      </c>
      <c r="F284" s="78" t="s">
        <v>18</v>
      </c>
      <c r="G284" s="389" t="s">
        <v>19</v>
      </c>
      <c r="H284" s="364" t="s">
        <v>20</v>
      </c>
      <c r="I284" s="381" t="s">
        <v>9</v>
      </c>
      <c r="J284" s="81" t="s">
        <v>10</v>
      </c>
      <c r="K284" s="81" t="s">
        <v>11</v>
      </c>
      <c r="L284" s="165"/>
      <c r="M284" s="296"/>
      <c r="N284" s="83" t="s">
        <v>12</v>
      </c>
      <c r="O284" s="83" t="s">
        <v>13</v>
      </c>
      <c r="P284" s="83" t="s">
        <v>14</v>
      </c>
      <c r="Q284" s="378" t="s">
        <v>9</v>
      </c>
      <c r="R284" s="82"/>
      <c r="S284" s="186"/>
      <c r="W284" s="1"/>
    </row>
    <row r="285" spans="1:23" ht="15" customHeight="1">
      <c r="A285" s="5"/>
      <c r="B285" s="294"/>
      <c r="C285" s="812"/>
      <c r="D285" s="719" t="s">
        <v>551</v>
      </c>
      <c r="E285" s="106" t="s">
        <v>547</v>
      </c>
      <c r="F285" s="136"/>
      <c r="G285" s="695"/>
      <c r="H285" s="672"/>
      <c r="I285" s="677"/>
      <c r="J285" s="681"/>
      <c r="K285" s="682"/>
      <c r="L285" s="163"/>
      <c r="M285" s="296"/>
      <c r="N285" s="610"/>
      <c r="O285" s="675"/>
      <c r="P285" s="612"/>
      <c r="Q285" s="87"/>
      <c r="R285" s="55"/>
      <c r="S285" s="185"/>
    </row>
    <row r="286" spans="1:23" ht="15" customHeight="1">
      <c r="A286" s="5"/>
      <c r="B286" s="294"/>
      <c r="C286" s="812"/>
      <c r="D286" s="719"/>
      <c r="E286" s="23" t="s">
        <v>312</v>
      </c>
      <c r="F286" s="89" t="s">
        <v>33</v>
      </c>
      <c r="G286" s="288">
        <f>G6*9200000</f>
        <v>9936000</v>
      </c>
      <c r="H286" s="580">
        <f>$G$4</f>
        <v>6</v>
      </c>
      <c r="I286" s="86">
        <f>G286*H286</f>
        <v>59616000</v>
      </c>
      <c r="J286" s="97">
        <f>I286*21%</f>
        <v>12519360</v>
      </c>
      <c r="K286" s="97">
        <f>I286+J286</f>
        <v>72135360</v>
      </c>
      <c r="L286" s="163"/>
      <c r="M286" s="296"/>
      <c r="N286" s="86">
        <f>I286/6</f>
        <v>9936000</v>
      </c>
      <c r="O286" s="86">
        <f>I286-N286</f>
        <v>49680000</v>
      </c>
      <c r="P286" s="86"/>
      <c r="Q286" s="87"/>
      <c r="R286" s="55"/>
      <c r="S286" s="185"/>
    </row>
    <row r="287" spans="1:23" ht="15" customHeight="1">
      <c r="A287" s="5"/>
      <c r="B287" s="294"/>
      <c r="C287" s="812"/>
      <c r="D287" s="719" t="s">
        <v>552</v>
      </c>
      <c r="E287" s="122" t="s">
        <v>548</v>
      </c>
      <c r="F287" s="136"/>
      <c r="G287" s="695"/>
      <c r="H287" s="672"/>
      <c r="I287" s="677"/>
      <c r="J287" s="681"/>
      <c r="K287" s="682"/>
      <c r="L287" s="163"/>
      <c r="M287" s="296"/>
      <c r="N287" s="610"/>
      <c r="O287" s="675"/>
      <c r="P287" s="612"/>
      <c r="Q287" s="87"/>
      <c r="R287" s="55"/>
      <c r="S287" s="185"/>
    </row>
    <row r="288" spans="1:23">
      <c r="A288" s="5"/>
      <c r="B288" s="294"/>
      <c r="C288" s="812"/>
      <c r="D288" s="719"/>
      <c r="E288" s="692"/>
      <c r="F288" s="137"/>
      <c r="G288" s="694"/>
      <c r="H288" s="696"/>
      <c r="I288" s="103"/>
      <c r="J288" s="676"/>
      <c r="K288" s="104"/>
      <c r="L288" s="163"/>
      <c r="M288" s="296"/>
      <c r="N288" s="594"/>
      <c r="O288" s="100"/>
      <c r="P288" s="619"/>
      <c r="Q288" s="87"/>
      <c r="R288" s="55"/>
      <c r="S288" s="185"/>
    </row>
    <row r="289" spans="1:21" ht="15" customHeight="1">
      <c r="A289" s="5"/>
      <c r="B289" s="294"/>
      <c r="C289" s="812"/>
      <c r="D289" s="719"/>
      <c r="E289" s="23" t="s">
        <v>550</v>
      </c>
      <c r="F289" s="89"/>
      <c r="G289" s="288"/>
      <c r="H289" s="580"/>
      <c r="I289" s="86">
        <f>G289*H289</f>
        <v>0</v>
      </c>
      <c r="J289" s="97">
        <f>I289*21%</f>
        <v>0</v>
      </c>
      <c r="K289" s="97">
        <f>I289+J289</f>
        <v>0</v>
      </c>
      <c r="L289" s="163"/>
      <c r="M289" s="296"/>
      <c r="N289" s="86">
        <f>I289/6</f>
        <v>0</v>
      </c>
      <c r="O289" s="86">
        <f>I289-N289</f>
        <v>0</v>
      </c>
      <c r="P289" s="86"/>
      <c r="Q289" s="87"/>
      <c r="R289" s="55"/>
      <c r="S289" s="185"/>
    </row>
    <row r="290" spans="1:21" ht="15" customHeight="1">
      <c r="A290" s="5"/>
      <c r="B290" s="294"/>
      <c r="C290" s="812"/>
      <c r="D290" s="719"/>
      <c r="E290" s="23" t="s">
        <v>549</v>
      </c>
      <c r="F290" s="89" t="s">
        <v>33</v>
      </c>
      <c r="G290" s="288">
        <f>G6*6000000</f>
        <v>6480000</v>
      </c>
      <c r="H290" s="580">
        <f>$G$4</f>
        <v>6</v>
      </c>
      <c r="I290" s="86">
        <f>G290*H290</f>
        <v>38880000</v>
      </c>
      <c r="J290" s="97">
        <f>I290*21%</f>
        <v>8164800</v>
      </c>
      <c r="K290" s="97">
        <f>I290+J290</f>
        <v>47044800</v>
      </c>
      <c r="L290" s="163"/>
      <c r="M290" s="296"/>
      <c r="N290" s="86">
        <f>I290/6</f>
        <v>6480000</v>
      </c>
      <c r="O290" s="86">
        <f>I290-N290</f>
        <v>32400000</v>
      </c>
      <c r="P290" s="86"/>
      <c r="Q290" s="87"/>
      <c r="R290" s="55"/>
      <c r="S290" s="185"/>
    </row>
    <row r="291" spans="1:21" ht="15" customHeight="1">
      <c r="A291" s="5"/>
      <c r="B291" s="294"/>
      <c r="C291" s="812"/>
      <c r="D291" s="719" t="s">
        <v>553</v>
      </c>
      <c r="E291" s="864" t="s">
        <v>555</v>
      </c>
      <c r="F291" s="962"/>
      <c r="G291" s="963"/>
      <c r="H291" s="876"/>
      <c r="I291" s="964"/>
      <c r="J291" s="676"/>
      <c r="K291" s="104"/>
      <c r="L291" s="163"/>
      <c r="M291" s="296"/>
      <c r="N291" s="610"/>
      <c r="O291" s="675"/>
      <c r="P291" s="612"/>
      <c r="Q291" s="87"/>
      <c r="R291" s="55"/>
      <c r="S291" s="185"/>
      <c r="U291" s="135"/>
    </row>
    <row r="292" spans="1:21">
      <c r="A292" s="5"/>
      <c r="B292" s="294"/>
      <c r="C292" s="812"/>
      <c r="D292" s="719"/>
      <c r="E292" s="965"/>
      <c r="F292" s="878"/>
      <c r="G292" s="868"/>
      <c r="H292" s="869"/>
      <c r="I292" s="870">
        <f>H292*G292</f>
        <v>0</v>
      </c>
      <c r="J292" s="86">
        <f>I292*21%</f>
        <v>0</v>
      </c>
      <c r="K292" s="86">
        <f>I292+J292</f>
        <v>0</v>
      </c>
      <c r="L292" s="163"/>
      <c r="M292" s="296"/>
      <c r="N292" s="86">
        <f>I292*0.8</f>
        <v>0</v>
      </c>
      <c r="O292" s="86">
        <f>I292*0.2</f>
        <v>0</v>
      </c>
      <c r="P292" s="86"/>
      <c r="Q292" s="87"/>
      <c r="R292" s="55"/>
      <c r="S292" s="185"/>
    </row>
    <row r="293" spans="1:21" ht="15" customHeight="1">
      <c r="A293" s="5"/>
      <c r="B293" s="294"/>
      <c r="C293" s="812"/>
      <c r="D293" s="719" t="s">
        <v>554</v>
      </c>
      <c r="E293" s="864" t="s">
        <v>556</v>
      </c>
      <c r="F293" s="962"/>
      <c r="G293" s="966"/>
      <c r="H293" s="876"/>
      <c r="I293" s="964"/>
      <c r="J293" s="681"/>
      <c r="K293" s="682"/>
      <c r="L293" s="163"/>
      <c r="M293" s="296"/>
      <c r="N293" s="610"/>
      <c r="O293" s="675"/>
      <c r="P293" s="612"/>
      <c r="Q293" s="87"/>
      <c r="R293" s="55"/>
      <c r="S293" s="185"/>
    </row>
    <row r="294" spans="1:21">
      <c r="A294" s="5"/>
      <c r="B294" s="294"/>
      <c r="C294" s="812"/>
      <c r="D294" s="719"/>
      <c r="E294" s="965"/>
      <c r="F294" s="878"/>
      <c r="G294" s="868"/>
      <c r="H294" s="869"/>
      <c r="I294" s="870">
        <f>H294*G294</f>
        <v>0</v>
      </c>
      <c r="J294" s="86">
        <f>I294*21%</f>
        <v>0</v>
      </c>
      <c r="K294" s="86">
        <f>I294+J294</f>
        <v>0</v>
      </c>
      <c r="L294" s="163"/>
      <c r="M294" s="296"/>
      <c r="N294" s="86">
        <f>I294*0.8</f>
        <v>0</v>
      </c>
      <c r="O294" s="86">
        <f>I294*0.2</f>
        <v>0</v>
      </c>
      <c r="P294" s="86"/>
      <c r="Q294" s="87"/>
      <c r="R294" s="55"/>
      <c r="S294" s="185"/>
    </row>
    <row r="295" spans="1:21" ht="15" customHeight="1">
      <c r="A295" s="5"/>
      <c r="B295" s="294"/>
      <c r="C295" s="826"/>
      <c r="D295" s="719" t="s">
        <v>557</v>
      </c>
      <c r="E295" s="145" t="s">
        <v>558</v>
      </c>
      <c r="F295" s="132"/>
      <c r="G295" s="669"/>
      <c r="H295" s="672"/>
      <c r="I295" s="86"/>
      <c r="J295" s="670"/>
      <c r="K295" s="117"/>
      <c r="L295" s="163"/>
      <c r="M295" s="296"/>
      <c r="N295" s="132"/>
      <c r="O295" s="115"/>
      <c r="P295" s="612"/>
      <c r="Q295" s="133"/>
      <c r="R295" s="55"/>
      <c r="S295" s="185"/>
    </row>
    <row r="296" spans="1:21" ht="15" customHeight="1">
      <c r="A296" s="5"/>
      <c r="B296" s="294"/>
      <c r="C296" s="807"/>
      <c r="D296" s="719"/>
      <c r="E296" s="267"/>
      <c r="F296" s="107"/>
      <c r="G296" s="841">
        <f>1500*G7</f>
        <v>2325000</v>
      </c>
      <c r="H296" s="580">
        <f>$G$4</f>
        <v>6</v>
      </c>
      <c r="I296" s="86">
        <f>G296*H296</f>
        <v>13950000</v>
      </c>
      <c r="J296" s="97">
        <f>I296*21%</f>
        <v>2929500</v>
      </c>
      <c r="K296" s="97">
        <f>I296+J296</f>
        <v>16879500</v>
      </c>
      <c r="L296" s="163"/>
      <c r="M296" s="296"/>
      <c r="N296" s="86"/>
      <c r="O296" s="86"/>
      <c r="P296" s="86">
        <f>I296</f>
        <v>13950000</v>
      </c>
      <c r="Q296" s="87"/>
      <c r="R296" s="55"/>
      <c r="S296" s="185"/>
    </row>
    <row r="297" spans="1:21" ht="15" customHeight="1">
      <c r="A297" s="5"/>
      <c r="B297" s="294"/>
      <c r="C297" s="807"/>
      <c r="D297" s="719" t="s">
        <v>559</v>
      </c>
      <c r="E297" s="106" t="s">
        <v>560</v>
      </c>
      <c r="F297" s="137"/>
      <c r="G297" s="351"/>
      <c r="H297" s="696"/>
      <c r="I297" s="100"/>
      <c r="J297" s="681"/>
      <c r="K297" s="682"/>
      <c r="L297" s="163"/>
      <c r="M297" s="296"/>
      <c r="N297" s="610"/>
      <c r="O297" s="675"/>
      <c r="P297" s="612"/>
      <c r="Q297" s="87"/>
      <c r="R297" s="55"/>
      <c r="S297" s="185"/>
    </row>
    <row r="298" spans="1:21" ht="15" customHeight="1">
      <c r="A298" s="5"/>
      <c r="B298" s="294"/>
      <c r="C298" s="807"/>
      <c r="D298" s="719"/>
      <c r="E298" s="692" t="s">
        <v>561</v>
      </c>
      <c r="F298" s="89" t="s">
        <v>33</v>
      </c>
      <c r="G298" s="288">
        <f>350*3*G7*G6</f>
        <v>1757700</v>
      </c>
      <c r="H298" s="580">
        <f>$G$4</f>
        <v>6</v>
      </c>
      <c r="I298" s="86">
        <f>G298*H298</f>
        <v>10546200</v>
      </c>
      <c r="J298" s="97">
        <f>I298*21%</f>
        <v>2214702</v>
      </c>
      <c r="K298" s="97">
        <f>I298+J298</f>
        <v>12760902</v>
      </c>
      <c r="L298" s="163"/>
      <c r="M298" s="296"/>
      <c r="N298" s="86">
        <f>I298/6</f>
        <v>1757700</v>
      </c>
      <c r="O298" s="86">
        <f>I298-N298</f>
        <v>8788500</v>
      </c>
      <c r="P298" s="86"/>
      <c r="Q298" s="87"/>
      <c r="R298" s="55"/>
      <c r="S298" s="185"/>
    </row>
    <row r="299" spans="1:21" ht="15" customHeight="1">
      <c r="A299" s="5"/>
      <c r="B299" s="294"/>
      <c r="C299" s="812"/>
      <c r="D299" s="719" t="s">
        <v>562</v>
      </c>
      <c r="E299" s="864" t="s">
        <v>563</v>
      </c>
      <c r="F299" s="962"/>
      <c r="G299" s="966"/>
      <c r="H299" s="876"/>
      <c r="I299" s="964"/>
      <c r="J299" s="681"/>
      <c r="K299" s="682"/>
      <c r="L299" s="163"/>
      <c r="M299" s="296"/>
      <c r="N299" s="610"/>
      <c r="O299" s="675"/>
      <c r="P299" s="612"/>
      <c r="Q299" s="87"/>
      <c r="R299" s="55"/>
      <c r="S299" s="185"/>
    </row>
    <row r="300" spans="1:21">
      <c r="A300" s="5"/>
      <c r="B300" s="294"/>
      <c r="C300" s="812"/>
      <c r="D300" s="719"/>
      <c r="E300" s="965"/>
      <c r="F300" s="878"/>
      <c r="G300" s="868"/>
      <c r="H300" s="869"/>
      <c r="I300" s="870">
        <f>H300*G300</f>
        <v>0</v>
      </c>
      <c r="J300" s="86">
        <f>I300*21%</f>
        <v>0</v>
      </c>
      <c r="K300" s="86">
        <f>I300+J300</f>
        <v>0</v>
      </c>
      <c r="L300" s="163"/>
      <c r="M300" s="296"/>
      <c r="N300" s="86">
        <f>I300*0.8</f>
        <v>0</v>
      </c>
      <c r="O300" s="86">
        <f>I300*0.2</f>
        <v>0</v>
      </c>
      <c r="P300" s="86"/>
      <c r="Q300" s="87"/>
      <c r="R300" s="55"/>
      <c r="S300" s="185"/>
    </row>
    <row r="301" spans="1:21" ht="15" customHeight="1">
      <c r="A301" s="5"/>
      <c r="B301" s="294"/>
      <c r="C301" s="826"/>
      <c r="D301" s="719" t="s">
        <v>564</v>
      </c>
      <c r="E301" s="106" t="s">
        <v>137</v>
      </c>
      <c r="F301" s="137"/>
      <c r="G301" s="385"/>
      <c r="H301" s="696"/>
      <c r="I301" s="100"/>
      <c r="J301" s="681"/>
      <c r="K301" s="682"/>
      <c r="L301" s="163"/>
      <c r="M301" s="296"/>
      <c r="N301" s="610"/>
      <c r="O301" s="675"/>
      <c r="P301" s="612"/>
      <c r="Q301" s="87"/>
      <c r="R301" s="55"/>
      <c r="S301" s="185"/>
    </row>
    <row r="302" spans="1:21">
      <c r="A302" s="5"/>
      <c r="B302" s="294"/>
      <c r="C302" s="826"/>
      <c r="D302" s="719"/>
      <c r="E302" s="274" t="s">
        <v>308</v>
      </c>
      <c r="F302" s="107" t="s">
        <v>21</v>
      </c>
      <c r="G302" s="288">
        <f>G6*700000*122%</f>
        <v>922320</v>
      </c>
      <c r="H302" s="580">
        <f>$G$4</f>
        <v>6</v>
      </c>
      <c r="I302" s="86">
        <f>G302*H302</f>
        <v>5533920</v>
      </c>
      <c r="J302" s="97">
        <f>I302*21%</f>
        <v>1162123.2</v>
      </c>
      <c r="K302" s="97">
        <f>I302+J302</f>
        <v>6696043.2000000002</v>
      </c>
      <c r="L302" s="163"/>
      <c r="M302" s="296"/>
      <c r="N302" s="86"/>
      <c r="O302" s="86">
        <f>I302</f>
        <v>5533920</v>
      </c>
      <c r="P302" s="86"/>
      <c r="Q302" s="133"/>
      <c r="R302" s="55"/>
      <c r="S302" s="185"/>
    </row>
    <row r="303" spans="1:21" ht="15" customHeight="1">
      <c r="A303" s="5"/>
      <c r="B303" s="294"/>
      <c r="C303" s="826"/>
      <c r="D303" s="719" t="s">
        <v>565</v>
      </c>
      <c r="E303" s="145" t="s">
        <v>566</v>
      </c>
      <c r="F303" s="132"/>
      <c r="G303" s="669"/>
      <c r="H303" s="672"/>
      <c r="I303" s="86"/>
      <c r="J303" s="670"/>
      <c r="K303" s="117"/>
      <c r="L303" s="163"/>
      <c r="M303" s="296"/>
      <c r="N303" s="132"/>
      <c r="O303" s="115"/>
      <c r="P303" s="612"/>
      <c r="Q303" s="133"/>
      <c r="R303" s="55"/>
      <c r="S303" s="185"/>
    </row>
    <row r="304" spans="1:21" ht="15" customHeight="1">
      <c r="A304" s="5"/>
      <c r="B304" s="294"/>
      <c r="C304" s="807"/>
      <c r="D304" s="719"/>
      <c r="E304" s="267"/>
      <c r="F304" s="107" t="s">
        <v>285</v>
      </c>
      <c r="G304" s="433">
        <f>((G296+G314+G298+G310+G286+G289+G290+G302))</f>
        <v>24556908</v>
      </c>
      <c r="H304" s="697">
        <v>0.06</v>
      </c>
      <c r="I304" s="86">
        <f>G304*H304</f>
        <v>1473414.48</v>
      </c>
      <c r="J304" s="97">
        <f>I304*21%</f>
        <v>309417.04079999996</v>
      </c>
      <c r="K304" s="97">
        <f>I304+J304</f>
        <v>1782831.5208000001</v>
      </c>
      <c r="L304" s="163"/>
      <c r="M304" s="296"/>
      <c r="N304" s="86"/>
      <c r="O304" s="86"/>
      <c r="P304" s="86">
        <f>I304</f>
        <v>1473414.48</v>
      </c>
      <c r="Q304" s="87"/>
      <c r="R304" s="55"/>
      <c r="S304" s="185"/>
    </row>
    <row r="305" spans="1:23" ht="15" customHeight="1">
      <c r="A305" s="5"/>
      <c r="B305" s="294"/>
      <c r="C305" s="812"/>
      <c r="D305" s="719" t="s">
        <v>567</v>
      </c>
      <c r="E305" s="864" t="s">
        <v>568</v>
      </c>
      <c r="F305" s="962"/>
      <c r="G305" s="966"/>
      <c r="H305" s="876"/>
      <c r="I305" s="964"/>
      <c r="J305" s="681"/>
      <c r="K305" s="682"/>
      <c r="L305" s="163"/>
      <c r="M305" s="296"/>
      <c r="N305" s="610"/>
      <c r="O305" s="675"/>
      <c r="P305" s="612"/>
      <c r="Q305" s="87"/>
      <c r="R305" s="55"/>
      <c r="S305" s="185"/>
    </row>
    <row r="306" spans="1:23">
      <c r="A306" s="5"/>
      <c r="B306" s="294"/>
      <c r="C306" s="812"/>
      <c r="D306" s="719"/>
      <c r="E306" s="965"/>
      <c r="F306" s="878"/>
      <c r="G306" s="868"/>
      <c r="H306" s="869"/>
      <c r="I306" s="870">
        <f>H306*G306</f>
        <v>0</v>
      </c>
      <c r="J306" s="86">
        <f>I306*21%</f>
        <v>0</v>
      </c>
      <c r="K306" s="86">
        <f>I306+J306</f>
        <v>0</v>
      </c>
      <c r="L306" s="163"/>
      <c r="M306" s="296"/>
      <c r="N306" s="86">
        <f>I306*0.8</f>
        <v>0</v>
      </c>
      <c r="O306" s="86">
        <f>I306*0.2</f>
        <v>0</v>
      </c>
      <c r="P306" s="86"/>
      <c r="Q306" s="87"/>
      <c r="R306" s="55"/>
      <c r="S306" s="185"/>
    </row>
    <row r="307" spans="1:23" ht="15" customHeight="1">
      <c r="A307" s="5"/>
      <c r="B307" s="294"/>
      <c r="C307" s="812"/>
      <c r="D307" s="719" t="s">
        <v>569</v>
      </c>
      <c r="E307" s="864" t="s">
        <v>570</v>
      </c>
      <c r="F307" s="962"/>
      <c r="G307" s="966"/>
      <c r="H307" s="876"/>
      <c r="I307" s="964"/>
      <c r="J307" s="681"/>
      <c r="K307" s="682"/>
      <c r="L307" s="163"/>
      <c r="M307" s="296"/>
      <c r="N307" s="610"/>
      <c r="O307" s="675"/>
      <c r="P307" s="612"/>
      <c r="Q307" s="87"/>
      <c r="R307" s="55"/>
      <c r="S307" s="185"/>
    </row>
    <row r="308" spans="1:23">
      <c r="A308" s="5"/>
      <c r="B308" s="294"/>
      <c r="C308" s="812"/>
      <c r="D308" s="719"/>
      <c r="E308" s="965"/>
      <c r="F308" s="878"/>
      <c r="G308" s="868"/>
      <c r="H308" s="869"/>
      <c r="I308" s="870">
        <f>H308*G308</f>
        <v>0</v>
      </c>
      <c r="J308" s="86">
        <f>I308*21%</f>
        <v>0</v>
      </c>
      <c r="K308" s="86">
        <f>I308+J308</f>
        <v>0</v>
      </c>
      <c r="L308" s="163"/>
      <c r="M308" s="296"/>
      <c r="N308" s="86">
        <f>I308*0.8</f>
        <v>0</v>
      </c>
      <c r="O308" s="86">
        <f>I308*0.2</f>
        <v>0</v>
      </c>
      <c r="P308" s="86"/>
      <c r="Q308" s="87"/>
      <c r="R308" s="55"/>
      <c r="S308" s="185"/>
    </row>
    <row r="309" spans="1:23" ht="15" customHeight="1">
      <c r="A309" s="5"/>
      <c r="B309" s="294"/>
      <c r="C309" s="812"/>
      <c r="D309" s="719" t="s">
        <v>571</v>
      </c>
      <c r="E309" s="122" t="s">
        <v>572</v>
      </c>
      <c r="F309" s="136"/>
      <c r="G309" s="432"/>
      <c r="H309" s="672"/>
      <c r="I309" s="677"/>
      <c r="J309" s="681"/>
      <c r="K309" s="682"/>
      <c r="L309" s="163"/>
      <c r="M309" s="296"/>
      <c r="N309" s="610"/>
      <c r="O309" s="675"/>
      <c r="P309" s="612"/>
      <c r="Q309" s="87"/>
      <c r="R309" s="55"/>
      <c r="S309" s="185"/>
    </row>
    <row r="310" spans="1:23" ht="15" customHeight="1">
      <c r="A310" s="5"/>
      <c r="B310" s="294"/>
      <c r="C310" s="826"/>
      <c r="D310" s="719"/>
      <c r="E310" s="23" t="s">
        <v>312</v>
      </c>
      <c r="F310" s="107" t="s">
        <v>33</v>
      </c>
      <c r="G310" s="288">
        <f>G6*2200000*122%</f>
        <v>2898720</v>
      </c>
      <c r="H310" s="580">
        <f>$G$4</f>
        <v>6</v>
      </c>
      <c r="I310" s="86">
        <f>G310*H310</f>
        <v>17392320</v>
      </c>
      <c r="J310" s="97">
        <f>I310*21%</f>
        <v>3652387.1999999997</v>
      </c>
      <c r="K310" s="97">
        <f>I310+J310</f>
        <v>21044707.199999999</v>
      </c>
      <c r="L310" s="163"/>
      <c r="M310" s="296"/>
      <c r="N310" s="86"/>
      <c r="O310" s="86">
        <f>I310</f>
        <v>17392320</v>
      </c>
      <c r="P310" s="86"/>
      <c r="Q310" s="87"/>
      <c r="R310" s="55"/>
      <c r="S310" s="185"/>
    </row>
    <row r="311" spans="1:23" ht="15" customHeight="1">
      <c r="A311" s="5"/>
      <c r="B311" s="294"/>
      <c r="C311" s="812"/>
      <c r="D311" s="719" t="s">
        <v>573</v>
      </c>
      <c r="E311" s="122" t="s">
        <v>574</v>
      </c>
      <c r="F311" s="136"/>
      <c r="G311" s="432"/>
      <c r="H311" s="672"/>
      <c r="I311" s="677"/>
      <c r="J311" s="681"/>
      <c r="K311" s="682"/>
      <c r="L311" s="163"/>
      <c r="M311" s="296"/>
      <c r="N311" s="610"/>
      <c r="O311" s="675"/>
      <c r="P311" s="612"/>
      <c r="Q311" s="87"/>
      <c r="R311" s="55"/>
      <c r="S311" s="185"/>
    </row>
    <row r="312" spans="1:23" ht="15" customHeight="1">
      <c r="A312" s="5"/>
      <c r="B312" s="294"/>
      <c r="C312" s="807"/>
      <c r="D312" s="719"/>
      <c r="E312" s="690" t="s">
        <v>138</v>
      </c>
      <c r="F312" s="89" t="s">
        <v>21</v>
      </c>
      <c r="G312" s="288">
        <f>G6*800000*122%</f>
        <v>1054080</v>
      </c>
      <c r="H312" s="580">
        <v>1</v>
      </c>
      <c r="I312" s="86">
        <f>G312*H312</f>
        <v>1054080</v>
      </c>
      <c r="J312" s="97">
        <f t="shared" ref="J312" si="8">I312*21%</f>
        <v>221356.79999999999</v>
      </c>
      <c r="K312" s="97">
        <f t="shared" ref="K312" si="9">I312+J312</f>
        <v>1275436.8</v>
      </c>
      <c r="L312" s="163"/>
      <c r="M312" s="296"/>
      <c r="N312" s="86">
        <f>I312</f>
        <v>1054080</v>
      </c>
      <c r="O312" s="86"/>
      <c r="P312" s="86"/>
      <c r="Q312" s="87"/>
      <c r="R312" s="55"/>
      <c r="S312" s="185"/>
    </row>
    <row r="313" spans="1:23" ht="15" customHeight="1">
      <c r="A313" s="5"/>
      <c r="B313" s="294"/>
      <c r="C313" s="812"/>
      <c r="D313" s="719" t="s">
        <v>575</v>
      </c>
      <c r="E313" s="711" t="s">
        <v>122</v>
      </c>
      <c r="F313" s="132"/>
      <c r="G313" s="132"/>
      <c r="H313" s="672"/>
      <c r="I313" s="86"/>
      <c r="J313" s="670"/>
      <c r="K313" s="117"/>
      <c r="L313" s="163"/>
      <c r="M313" s="296"/>
      <c r="N313" s="132"/>
      <c r="O313" s="115"/>
      <c r="P313" s="612"/>
      <c r="Q313" s="133"/>
      <c r="R313" s="55"/>
      <c r="S313" s="185"/>
    </row>
    <row r="314" spans="1:23" ht="15" customHeight="1">
      <c r="A314" s="5"/>
      <c r="B314" s="294"/>
      <c r="C314" s="812"/>
      <c r="D314" s="719"/>
      <c r="E314" s="710" t="s">
        <v>543</v>
      </c>
      <c r="F314" s="89" t="s">
        <v>21</v>
      </c>
      <c r="G314" s="288">
        <f>180000*G6*122%</f>
        <v>237168</v>
      </c>
      <c r="H314" s="580">
        <f>'Equ. Tec. x SICA'!G243</f>
        <v>3</v>
      </c>
      <c r="I314" s="86">
        <f>+G314*H314</f>
        <v>711504</v>
      </c>
      <c r="J314" s="97">
        <f>I314*21%</f>
        <v>149415.84</v>
      </c>
      <c r="K314" s="97">
        <f>I314+J314</f>
        <v>860919.84</v>
      </c>
      <c r="L314" s="163"/>
      <c r="M314" s="296"/>
      <c r="N314" s="86">
        <v>0</v>
      </c>
      <c r="O314" s="86">
        <f>I314*0.2</f>
        <v>142300.80000000002</v>
      </c>
      <c r="P314" s="86">
        <f>I314*0.8</f>
        <v>569203.20000000007</v>
      </c>
      <c r="Q314" s="87"/>
      <c r="R314" s="55"/>
      <c r="S314" s="185"/>
    </row>
    <row r="315" spans="1:23" ht="15" customHeight="1">
      <c r="A315" s="5"/>
      <c r="B315" s="294"/>
      <c r="C315" s="807"/>
      <c r="D315" s="719"/>
      <c r="E315" s="690" t="s">
        <v>576</v>
      </c>
      <c r="F315" s="89"/>
      <c r="G315" s="288"/>
      <c r="H315" s="580"/>
      <c r="I315" s="86">
        <f>G315*H315</f>
        <v>0</v>
      </c>
      <c r="J315" s="97">
        <f t="shared" ref="J315" si="10">I315*21%</f>
        <v>0</v>
      </c>
      <c r="K315" s="97">
        <f t="shared" ref="K315" si="11">I315+J315</f>
        <v>0</v>
      </c>
      <c r="L315" s="163"/>
      <c r="M315" s="296"/>
      <c r="N315" s="86">
        <f>I315</f>
        <v>0</v>
      </c>
      <c r="O315" s="86"/>
      <c r="P315" s="86"/>
      <c r="Q315" s="87"/>
      <c r="R315" s="55"/>
      <c r="S315" s="185"/>
    </row>
    <row r="316" spans="1:23" s="67" customFormat="1" ht="15" customHeight="1">
      <c r="A316" s="63"/>
      <c r="B316" s="295"/>
      <c r="C316" s="830">
        <f>SUM(C285:C315)</f>
        <v>0</v>
      </c>
      <c r="D316" s="722"/>
      <c r="E316" s="98"/>
      <c r="F316" s="92"/>
      <c r="G316" s="1041" t="s">
        <v>139</v>
      </c>
      <c r="H316" s="1041"/>
      <c r="I316" s="380">
        <f>SUM(I285:I315)</f>
        <v>149157438.48000002</v>
      </c>
      <c r="J316" s="93">
        <f>SUM(J285:J315)</f>
        <v>31323062.080800001</v>
      </c>
      <c r="K316" s="93">
        <f>SUM(K285:K315)</f>
        <v>180480500.56079999</v>
      </c>
      <c r="L316" s="165"/>
      <c r="M316" s="296"/>
      <c r="N316" s="94">
        <f>SUM(N285:N315)</f>
        <v>19227780</v>
      </c>
      <c r="O316" s="95">
        <f>SUM(O285:O315)</f>
        <v>113937040.8</v>
      </c>
      <c r="P316" s="96">
        <f>SUM(P285:P315)</f>
        <v>15992617.68</v>
      </c>
      <c r="Q316" s="379">
        <f>SUM(N316:P316)</f>
        <v>149157438.47999999</v>
      </c>
      <c r="R316" s="66"/>
      <c r="S316" s="186"/>
      <c r="W316" s="1"/>
    </row>
    <row r="317" spans="1:23" ht="30" customHeight="1">
      <c r="A317" s="5"/>
      <c r="B317" s="290"/>
      <c r="C317" s="826"/>
      <c r="D317" s="719"/>
      <c r="E317" s="69"/>
      <c r="F317" s="8"/>
      <c r="I317" s="70"/>
      <c r="J317" s="9"/>
      <c r="K317" s="9"/>
      <c r="L317" s="163"/>
      <c r="M317" s="296"/>
      <c r="N317" s="71"/>
      <c r="O317" s="71"/>
      <c r="P317" s="71"/>
      <c r="Q317" s="72"/>
      <c r="R317" s="22"/>
      <c r="S317" s="185"/>
    </row>
    <row r="318" spans="1:23" s="67" customFormat="1" ht="15" customHeight="1">
      <c r="A318" s="63"/>
      <c r="B318" s="293"/>
      <c r="C318" s="826"/>
      <c r="D318" s="755">
        <v>19</v>
      </c>
      <c r="E318" s="45" t="s">
        <v>577</v>
      </c>
      <c r="F318" s="78" t="s">
        <v>18</v>
      </c>
      <c r="G318" s="389" t="s">
        <v>19</v>
      </c>
      <c r="H318" s="364" t="s">
        <v>20</v>
      </c>
      <c r="I318" s="381" t="s">
        <v>9</v>
      </c>
      <c r="J318" s="81" t="s">
        <v>10</v>
      </c>
      <c r="K318" s="81" t="s">
        <v>11</v>
      </c>
      <c r="L318" s="165"/>
      <c r="M318" s="296"/>
      <c r="N318" s="83" t="s">
        <v>12</v>
      </c>
      <c r="O318" s="83" t="s">
        <v>13</v>
      </c>
      <c r="P318" s="83" t="s">
        <v>14</v>
      </c>
      <c r="Q318" s="378" t="s">
        <v>9</v>
      </c>
      <c r="R318" s="82"/>
      <c r="S318" s="186"/>
      <c r="W318" s="1"/>
    </row>
    <row r="319" spans="1:23" ht="15" customHeight="1">
      <c r="A319" s="5"/>
      <c r="B319" s="294"/>
      <c r="C319" s="826"/>
      <c r="D319" s="719" t="s">
        <v>579</v>
      </c>
      <c r="E319" s="1000" t="s">
        <v>578</v>
      </c>
      <c r="F319" s="995"/>
      <c r="G319" s="854"/>
      <c r="H319" s="996"/>
      <c r="I319" s="1001"/>
      <c r="J319" s="608"/>
      <c r="K319" s="609"/>
      <c r="L319" s="163"/>
      <c r="M319" s="296"/>
      <c r="N319" s="132"/>
      <c r="O319" s="115"/>
      <c r="P319" s="612"/>
      <c r="Q319" s="87"/>
      <c r="R319" s="55"/>
      <c r="S319" s="185"/>
    </row>
    <row r="320" spans="1:23" s="5" customFormat="1" ht="15" customHeight="1">
      <c r="B320" s="290"/>
      <c r="C320" s="807"/>
      <c r="D320" s="719"/>
      <c r="E320" s="965"/>
      <c r="F320" s="982"/>
      <c r="G320" s="868"/>
      <c r="H320" s="869"/>
      <c r="I320" s="869">
        <f>+G320*H320</f>
        <v>0</v>
      </c>
      <c r="J320" s="97">
        <f>I320*10.5%</f>
        <v>0</v>
      </c>
      <c r="K320" s="97">
        <f>I320+J320</f>
        <v>0</v>
      </c>
      <c r="L320" s="163"/>
      <c r="M320" s="296"/>
      <c r="N320" s="86">
        <f>I320*0.5</f>
        <v>0</v>
      </c>
      <c r="O320" s="86"/>
      <c r="P320" s="86">
        <f>I320*0.5</f>
        <v>0</v>
      </c>
      <c r="Q320" s="103"/>
      <c r="R320" s="22"/>
      <c r="S320" s="185"/>
    </row>
    <row r="321" spans="1:23" s="5" customFormat="1" ht="15" customHeight="1">
      <c r="B321" s="290"/>
      <c r="C321" s="827"/>
      <c r="D321" s="719" t="s">
        <v>581</v>
      </c>
      <c r="E321" s="864" t="s">
        <v>580</v>
      </c>
      <c r="F321" s="853"/>
      <c r="G321" s="854"/>
      <c r="H321" s="855"/>
      <c r="I321" s="865"/>
      <c r="J321" s="608"/>
      <c r="K321" s="609"/>
      <c r="L321" s="163"/>
      <c r="M321" s="296"/>
      <c r="N321" s="132"/>
      <c r="O321" s="115"/>
      <c r="P321" s="612"/>
      <c r="Q321" s="87"/>
      <c r="R321" s="22"/>
      <c r="S321" s="185"/>
    </row>
    <row r="322" spans="1:23" s="5" customFormat="1">
      <c r="B322" s="294"/>
      <c r="C322" s="807"/>
      <c r="D322" s="722"/>
      <c r="E322" s="967" t="s">
        <v>751</v>
      </c>
      <c r="F322" s="878"/>
      <c r="G322" s="868"/>
      <c r="H322" s="869"/>
      <c r="I322" s="870">
        <f>+G322*H322</f>
        <v>0</v>
      </c>
      <c r="J322" s="97">
        <f>I322*10.5%</f>
        <v>0</v>
      </c>
      <c r="K322" s="97">
        <f>I322+J322</f>
        <v>0</v>
      </c>
      <c r="L322" s="163"/>
      <c r="M322" s="296"/>
      <c r="N322" s="86">
        <f>I322*0.5</f>
        <v>0</v>
      </c>
      <c r="O322" s="86"/>
      <c r="P322" s="86">
        <f>I322*0.5</f>
        <v>0</v>
      </c>
      <c r="Q322" s="103"/>
      <c r="R322" s="55"/>
      <c r="S322" s="185"/>
    </row>
    <row r="323" spans="1:23" s="121" customFormat="1" ht="15" customHeight="1">
      <c r="B323" s="294"/>
      <c r="C323" s="826"/>
      <c r="D323" s="719" t="s">
        <v>584</v>
      </c>
      <c r="E323" s="864" t="s">
        <v>582</v>
      </c>
      <c r="F323" s="853"/>
      <c r="G323" s="854"/>
      <c r="H323" s="855"/>
      <c r="I323" s="865"/>
      <c r="J323" s="608"/>
      <c r="K323" s="609"/>
      <c r="L323" s="163"/>
      <c r="M323" s="296"/>
      <c r="N323" s="132"/>
      <c r="O323" s="115"/>
      <c r="P323" s="612"/>
      <c r="Q323" s="133"/>
      <c r="R323" s="126"/>
      <c r="S323" s="188"/>
    </row>
    <row r="324" spans="1:23" s="5" customFormat="1" ht="15">
      <c r="B324" s="290"/>
      <c r="C324" s="827"/>
      <c r="D324" s="722"/>
      <c r="E324" s="866"/>
      <c r="F324" s="878"/>
      <c r="G324" s="868"/>
      <c r="H324" s="869"/>
      <c r="I324" s="870">
        <f>+G324*H324</f>
        <v>0</v>
      </c>
      <c r="J324" s="97">
        <f>I324*10.5%</f>
        <v>0</v>
      </c>
      <c r="K324" s="97">
        <f>I324+J324</f>
        <v>0</v>
      </c>
      <c r="L324" s="163"/>
      <c r="M324" s="296"/>
      <c r="N324" s="86">
        <f>I324*0.5</f>
        <v>0</v>
      </c>
      <c r="O324" s="86"/>
      <c r="P324" s="86">
        <f>I324*0.5</f>
        <v>0</v>
      </c>
      <c r="Q324" s="87"/>
      <c r="R324" s="22"/>
      <c r="S324" s="185"/>
    </row>
    <row r="325" spans="1:23" s="5" customFormat="1">
      <c r="B325" s="294"/>
      <c r="C325" s="807"/>
      <c r="D325" s="719" t="s">
        <v>585</v>
      </c>
      <c r="E325" s="994" t="s">
        <v>583</v>
      </c>
      <c r="F325" s="995"/>
      <c r="G325" s="854"/>
      <c r="H325" s="996"/>
      <c r="I325" s="865"/>
      <c r="J325" s="608"/>
      <c r="K325" s="609"/>
      <c r="L325" s="163"/>
      <c r="M325" s="296"/>
      <c r="N325" s="594"/>
      <c r="O325" s="100"/>
      <c r="P325" s="619"/>
      <c r="Q325" s="103"/>
      <c r="R325" s="55"/>
      <c r="S325" s="185"/>
    </row>
    <row r="326" spans="1:23" s="5" customFormat="1">
      <c r="B326" s="294"/>
      <c r="C326" s="807"/>
      <c r="D326" s="722"/>
      <c r="E326" s="997"/>
      <c r="F326" s="998"/>
      <c r="G326" s="999"/>
      <c r="H326" s="869"/>
      <c r="I326" s="870">
        <f>G326*H326</f>
        <v>0</v>
      </c>
      <c r="J326" s="655">
        <f>I326*21%</f>
        <v>0</v>
      </c>
      <c r="K326" s="655">
        <f>I326+J326</f>
        <v>0</v>
      </c>
      <c r="L326" s="163"/>
      <c r="M326" s="296"/>
      <c r="N326" s="86">
        <f>I326*0.5</f>
        <v>0</v>
      </c>
      <c r="O326" s="86"/>
      <c r="P326" s="86">
        <f>I326*0.5</f>
        <v>0</v>
      </c>
      <c r="Q326" s="103"/>
      <c r="R326" s="55"/>
      <c r="S326" s="185"/>
    </row>
    <row r="327" spans="1:23" s="5" customFormat="1" ht="15" customHeight="1">
      <c r="B327" s="290"/>
      <c r="C327" s="827"/>
      <c r="D327" s="719" t="s">
        <v>586</v>
      </c>
      <c r="E327" s="882" t="s">
        <v>236</v>
      </c>
      <c r="F327" s="519"/>
      <c r="G327" s="637"/>
      <c r="H327" s="638"/>
      <c r="I327" s="671"/>
      <c r="J327" s="608"/>
      <c r="K327" s="609"/>
      <c r="L327" s="163"/>
      <c r="M327" s="296"/>
      <c r="N327" s="594"/>
      <c r="O327" s="100"/>
      <c r="P327" s="619"/>
      <c r="Q327" s="87"/>
      <c r="R327" s="22"/>
      <c r="S327" s="185"/>
    </row>
    <row r="328" spans="1:23" ht="15" customHeight="1">
      <c r="A328" s="5"/>
      <c r="B328" s="294"/>
      <c r="C328" s="812"/>
      <c r="D328" s="727"/>
      <c r="E328" s="837" t="s">
        <v>750</v>
      </c>
      <c r="F328" s="750" t="s">
        <v>234</v>
      </c>
      <c r="G328" s="580">
        <f>25000000*G6*122%</f>
        <v>32940000</v>
      </c>
      <c r="H328" s="580">
        <v>1</v>
      </c>
      <c r="I328" s="86">
        <f>G328*H328</f>
        <v>32940000</v>
      </c>
      <c r="J328" s="655">
        <f>I328*21%</f>
        <v>6917400</v>
      </c>
      <c r="K328" s="655">
        <f>I328+J328</f>
        <v>39857400</v>
      </c>
      <c r="L328" s="163"/>
      <c r="M328" s="296"/>
      <c r="N328" s="86">
        <f>I328*0.3</f>
        <v>9882000</v>
      </c>
      <c r="O328" s="580">
        <f>I328*0.7</f>
        <v>23058000</v>
      </c>
      <c r="P328" s="86"/>
      <c r="Q328" s="87"/>
      <c r="R328" s="55"/>
      <c r="S328" s="185"/>
    </row>
    <row r="329" spans="1:23" s="67" customFormat="1" ht="15" customHeight="1">
      <c r="A329" s="63"/>
      <c r="B329" s="295"/>
      <c r="C329" s="830">
        <f>SUM(C319:C328)</f>
        <v>0</v>
      </c>
      <c r="D329" s="722"/>
      <c r="E329" s="98"/>
      <c r="F329" s="92"/>
      <c r="G329" s="1041" t="s">
        <v>140</v>
      </c>
      <c r="H329" s="1041"/>
      <c r="I329" s="380">
        <f>SUM(I319:I328)</f>
        <v>32940000</v>
      </c>
      <c r="J329" s="93">
        <f>SUM(J319:J328)</f>
        <v>6917400</v>
      </c>
      <c r="K329" s="93">
        <f>SUM(K319:K328)</f>
        <v>39857400</v>
      </c>
      <c r="L329" s="165"/>
      <c r="M329" s="296"/>
      <c r="N329" s="94">
        <f>SUM(N319:N328)</f>
        <v>9882000</v>
      </c>
      <c r="O329" s="95">
        <f>SUM(O319:O328)</f>
        <v>23058000</v>
      </c>
      <c r="P329" s="96">
        <f>SUM(P319:P328)</f>
        <v>0</v>
      </c>
      <c r="Q329" s="379">
        <f>SUM(N329:P329)</f>
        <v>32940000</v>
      </c>
      <c r="R329" s="66"/>
      <c r="S329" s="186"/>
      <c r="W329" s="1"/>
    </row>
    <row r="330" spans="1:23" ht="30" customHeight="1">
      <c r="A330" s="5"/>
      <c r="B330" s="290"/>
      <c r="C330" s="807"/>
      <c r="E330" s="69"/>
      <c r="F330" s="8"/>
      <c r="G330" s="70"/>
      <c r="I330" s="70"/>
      <c r="J330" s="9"/>
      <c r="K330" s="9"/>
      <c r="L330" s="163"/>
      <c r="M330" s="296"/>
      <c r="N330" s="71"/>
      <c r="O330" s="71"/>
      <c r="P330" s="71"/>
      <c r="Q330" s="72"/>
      <c r="R330" s="22"/>
      <c r="S330" s="185"/>
    </row>
    <row r="331" spans="1:23" s="67" customFormat="1" ht="15" customHeight="1">
      <c r="A331" s="63"/>
      <c r="B331" s="293"/>
      <c r="C331" s="811"/>
      <c r="D331" s="755">
        <v>20</v>
      </c>
      <c r="E331" s="45" t="s">
        <v>141</v>
      </c>
      <c r="F331" s="269" t="s">
        <v>18</v>
      </c>
      <c r="G331" s="390" t="s">
        <v>19</v>
      </c>
      <c r="H331" s="366" t="s">
        <v>20</v>
      </c>
      <c r="I331" s="382" t="s">
        <v>9</v>
      </c>
      <c r="J331" s="270" t="s">
        <v>10</v>
      </c>
      <c r="K331" s="270" t="s">
        <v>11</v>
      </c>
      <c r="L331" s="165"/>
      <c r="M331" s="296"/>
      <c r="N331" s="83" t="s">
        <v>12</v>
      </c>
      <c r="O331" s="83" t="s">
        <v>13</v>
      </c>
      <c r="P331" s="83" t="s">
        <v>14</v>
      </c>
      <c r="Q331" s="378" t="s">
        <v>9</v>
      </c>
      <c r="R331" s="82"/>
      <c r="S331" s="186"/>
      <c r="W331" s="1"/>
    </row>
    <row r="332" spans="1:23" s="121" customFormat="1" ht="15" customHeight="1">
      <c r="B332" s="294"/>
      <c r="C332" s="814"/>
      <c r="D332" s="727" t="s">
        <v>591</v>
      </c>
      <c r="E332" s="122" t="s">
        <v>596</v>
      </c>
      <c r="F332" s="386"/>
      <c r="G332" s="685"/>
      <c r="H332" s="685"/>
      <c r="I332" s="674"/>
      <c r="J332" s="731"/>
      <c r="K332" s="732"/>
      <c r="L332" s="163"/>
      <c r="M332" s="296"/>
      <c r="N332" s="146"/>
      <c r="O332" s="140"/>
      <c r="P332" s="147"/>
      <c r="Q332" s="148"/>
      <c r="R332" s="126"/>
      <c r="S332" s="188"/>
    </row>
    <row r="333" spans="1:23" ht="15" customHeight="1">
      <c r="A333" s="5"/>
      <c r="B333" s="294"/>
      <c r="C333" s="832"/>
      <c r="D333" s="727"/>
      <c r="E333" s="119" t="s">
        <v>588</v>
      </c>
      <c r="F333" s="522" t="s">
        <v>33</v>
      </c>
      <c r="G333" s="387">
        <v>280000</v>
      </c>
      <c r="H333" s="615">
        <f>$G$3+$G$4</f>
        <v>13</v>
      </c>
      <c r="I333" s="602">
        <f>+G333*H333</f>
        <v>3640000</v>
      </c>
      <c r="J333" s="616"/>
      <c r="K333" s="616">
        <f>SUM(I333:J333)</f>
        <v>3640000</v>
      </c>
      <c r="L333" s="163"/>
      <c r="M333" s="296"/>
      <c r="N333" s="86">
        <f>I333*50%</f>
        <v>1820000</v>
      </c>
      <c r="O333" s="86">
        <f>I333*50%</f>
        <v>1820000</v>
      </c>
      <c r="P333" s="86">
        <f t="shared" ref="P333:P334" si="12">I333-N333-O333</f>
        <v>0</v>
      </c>
      <c r="Q333" s="87"/>
      <c r="R333" s="55"/>
      <c r="S333" s="185"/>
    </row>
    <row r="334" spans="1:23" ht="15" customHeight="1">
      <c r="A334" s="5"/>
      <c r="B334" s="294"/>
      <c r="C334" s="832"/>
      <c r="D334" s="727"/>
      <c r="E334" s="119" t="s">
        <v>590</v>
      </c>
      <c r="F334" s="522" t="s">
        <v>33</v>
      </c>
      <c r="G334" s="387">
        <v>280000</v>
      </c>
      <c r="H334" s="615">
        <v>8</v>
      </c>
      <c r="I334" s="602">
        <f>+H334*G334</f>
        <v>2240000</v>
      </c>
      <c r="J334" s="616"/>
      <c r="K334" s="616">
        <f>SUM(I334:J334)</f>
        <v>2240000</v>
      </c>
      <c r="L334" s="163"/>
      <c r="M334" s="296"/>
      <c r="N334" s="86">
        <f>I334*30%</f>
        <v>672000</v>
      </c>
      <c r="O334" s="86">
        <f>I334*60%</f>
        <v>1344000</v>
      </c>
      <c r="P334" s="86">
        <f t="shared" si="12"/>
        <v>224000</v>
      </c>
      <c r="Q334" s="87"/>
      <c r="R334" s="55"/>
      <c r="S334" s="185"/>
    </row>
    <row r="335" spans="1:23" s="121" customFormat="1" ht="15" customHeight="1">
      <c r="B335" s="294"/>
      <c r="C335" s="832"/>
      <c r="D335" s="727" t="s">
        <v>592</v>
      </c>
      <c r="E335" s="122" t="s">
        <v>594</v>
      </c>
      <c r="F335" s="386"/>
      <c r="G335" s="685"/>
      <c r="H335" s="685"/>
      <c r="I335" s="674"/>
      <c r="J335" s="731"/>
      <c r="K335" s="732"/>
      <c r="L335" s="163"/>
      <c r="M335" s="296"/>
      <c r="N335" s="146"/>
      <c r="O335" s="140"/>
      <c r="P335" s="147"/>
      <c r="Q335" s="148"/>
      <c r="R335" s="126"/>
      <c r="S335" s="188"/>
    </row>
    <row r="336" spans="1:23" ht="15" customHeight="1">
      <c r="A336" s="5"/>
      <c r="B336" s="294"/>
      <c r="C336" s="832"/>
      <c r="D336" s="727"/>
      <c r="E336" s="715" t="s">
        <v>595</v>
      </c>
      <c r="F336" s="522" t="s">
        <v>33</v>
      </c>
      <c r="G336" s="387">
        <v>280000</v>
      </c>
      <c r="H336" s="615">
        <v>4</v>
      </c>
      <c r="I336" s="602">
        <f>+G336*H336</f>
        <v>1120000</v>
      </c>
      <c r="J336" s="616"/>
      <c r="K336" s="616">
        <f>SUM(I336:J336)</f>
        <v>1120000</v>
      </c>
      <c r="L336" s="163"/>
      <c r="M336" s="296"/>
      <c r="N336" s="86">
        <f>I336*50%</f>
        <v>560000</v>
      </c>
      <c r="O336" s="86">
        <f>I336*50%</f>
        <v>560000</v>
      </c>
      <c r="P336" s="86">
        <f>I336-N336-O336</f>
        <v>0</v>
      </c>
      <c r="Q336" s="87"/>
      <c r="R336" s="55"/>
      <c r="S336" s="185"/>
    </row>
    <row r="337" spans="1:19" ht="15" customHeight="1">
      <c r="A337" s="5"/>
      <c r="B337" s="294"/>
      <c r="C337" s="832"/>
      <c r="D337" s="727" t="s">
        <v>593</v>
      </c>
      <c r="E337" s="566" t="s">
        <v>599</v>
      </c>
      <c r="F337" s="386"/>
      <c r="G337" s="685"/>
      <c r="H337" s="685"/>
      <c r="I337" s="674"/>
      <c r="J337" s="731"/>
      <c r="K337" s="732"/>
      <c r="L337" s="163"/>
      <c r="M337" s="296"/>
      <c r="N337" s="146"/>
      <c r="O337" s="140"/>
      <c r="P337" s="147"/>
      <c r="Q337" s="87"/>
      <c r="R337" s="55"/>
      <c r="S337" s="185"/>
    </row>
    <row r="338" spans="1:19" ht="15" customHeight="1">
      <c r="A338" s="5"/>
      <c r="B338" s="294"/>
      <c r="C338" s="832"/>
      <c r="D338" s="727"/>
      <c r="E338" s="715"/>
      <c r="F338" s="522" t="s">
        <v>33</v>
      </c>
      <c r="G338" s="387">
        <v>500000</v>
      </c>
      <c r="H338" s="615">
        <v>12</v>
      </c>
      <c r="I338" s="602">
        <f>+G338*H338</f>
        <v>6000000</v>
      </c>
      <c r="J338" s="616"/>
      <c r="K338" s="616">
        <f>SUM(I338:J338)</f>
        <v>6000000</v>
      </c>
      <c r="L338" s="163"/>
      <c r="M338" s="296"/>
      <c r="N338" s="86">
        <f>I338*30%</f>
        <v>1800000</v>
      </c>
      <c r="O338" s="86">
        <f>I338*60%</f>
        <v>3600000</v>
      </c>
      <c r="P338" s="86">
        <f t="shared" ref="P338" si="13">I338-N338-O338</f>
        <v>600000</v>
      </c>
      <c r="Q338" s="87"/>
      <c r="R338" s="55"/>
      <c r="S338" s="185"/>
    </row>
    <row r="339" spans="1:19" ht="15" customHeight="1">
      <c r="A339" s="5"/>
      <c r="B339" s="294"/>
      <c r="C339" s="832"/>
      <c r="D339" s="727" t="s">
        <v>597</v>
      </c>
      <c r="E339" s="566" t="s">
        <v>598</v>
      </c>
      <c r="F339" s="386"/>
      <c r="G339" s="685"/>
      <c r="H339" s="685"/>
      <c r="I339" s="674"/>
      <c r="J339" s="731"/>
      <c r="K339" s="732"/>
      <c r="L339" s="163"/>
      <c r="M339" s="296"/>
      <c r="N339" s="146"/>
      <c r="O339" s="140"/>
      <c r="P339" s="147"/>
      <c r="Q339" s="87"/>
      <c r="R339" s="55"/>
      <c r="S339" s="185"/>
    </row>
    <row r="340" spans="1:19" ht="15" customHeight="1">
      <c r="A340" s="5"/>
      <c r="B340" s="294"/>
      <c r="C340" s="832"/>
      <c r="D340" s="727"/>
      <c r="E340" s="715"/>
      <c r="F340" s="522"/>
      <c r="G340" s="387"/>
      <c r="H340" s="615"/>
      <c r="I340" s="602"/>
      <c r="J340" s="616"/>
      <c r="K340" s="616">
        <f>SUM(I340:J340)</f>
        <v>0</v>
      </c>
      <c r="L340" s="163"/>
      <c r="M340" s="296"/>
      <c r="N340" s="86">
        <f>I340*30%</f>
        <v>0</v>
      </c>
      <c r="O340" s="86">
        <f>I340*60%</f>
        <v>0</v>
      </c>
      <c r="P340" s="86">
        <f t="shared" ref="P340" si="14">I340-N340-O340</f>
        <v>0</v>
      </c>
      <c r="Q340" s="87"/>
      <c r="R340" s="55"/>
      <c r="S340" s="185"/>
    </row>
    <row r="341" spans="1:19" ht="15" customHeight="1">
      <c r="A341" s="5"/>
      <c r="B341" s="294"/>
      <c r="C341" s="832"/>
      <c r="D341" s="727" t="s">
        <v>600</v>
      </c>
      <c r="E341" s="566" t="s">
        <v>601</v>
      </c>
      <c r="F341" s="386"/>
      <c r="G341" s="685"/>
      <c r="H341" s="685"/>
      <c r="I341" s="674"/>
      <c r="J341" s="731"/>
      <c r="K341" s="732"/>
      <c r="L341" s="163"/>
      <c r="M341" s="296"/>
      <c r="N341" s="146"/>
      <c r="O341" s="140"/>
      <c r="P341" s="147"/>
      <c r="Q341" s="87"/>
      <c r="R341" s="55"/>
      <c r="S341" s="185"/>
    </row>
    <row r="342" spans="1:19" ht="15" customHeight="1">
      <c r="A342" s="5"/>
      <c r="B342" s="294"/>
      <c r="C342" s="832"/>
      <c r="D342" s="727"/>
      <c r="E342" s="716" t="s">
        <v>589</v>
      </c>
      <c r="F342" s="522" t="s">
        <v>33</v>
      </c>
      <c r="G342" s="387">
        <v>320000</v>
      </c>
      <c r="H342" s="615">
        <f>$G$4</f>
        <v>6</v>
      </c>
      <c r="I342" s="602">
        <f>+G342*H342</f>
        <v>1920000</v>
      </c>
      <c r="J342" s="616">
        <f>I342*21%</f>
        <v>403200</v>
      </c>
      <c r="K342" s="616">
        <f>SUM(I342:J342)</f>
        <v>2323200</v>
      </c>
      <c r="L342" s="163"/>
      <c r="M342" s="296"/>
      <c r="N342" s="86">
        <v>0</v>
      </c>
      <c r="O342" s="86">
        <f>I342</f>
        <v>1920000</v>
      </c>
      <c r="P342" s="86">
        <f>I342-N342-O342</f>
        <v>0</v>
      </c>
      <c r="Q342" s="87"/>
      <c r="R342" s="55"/>
      <c r="S342" s="185"/>
    </row>
    <row r="343" spans="1:19" ht="15" customHeight="1">
      <c r="A343" s="5"/>
      <c r="B343" s="294"/>
      <c r="C343" s="832"/>
      <c r="D343" s="727" t="s">
        <v>602</v>
      </c>
      <c r="E343" s="560" t="s">
        <v>603</v>
      </c>
      <c r="F343" s="386"/>
      <c r="G343" s="685"/>
      <c r="H343" s="685"/>
      <c r="I343" s="674"/>
      <c r="J343" s="731"/>
      <c r="K343" s="732"/>
      <c r="L343" s="163"/>
      <c r="M343" s="296"/>
      <c r="N343" s="146"/>
      <c r="O343" s="140"/>
      <c r="P343" s="147"/>
      <c r="Q343" s="87"/>
      <c r="R343" s="55"/>
      <c r="S343" s="185"/>
    </row>
    <row r="344" spans="1:19" ht="15" customHeight="1">
      <c r="A344" s="5"/>
      <c r="B344" s="294"/>
      <c r="C344" s="832"/>
      <c r="D344" s="727"/>
      <c r="E344" s="119" t="s">
        <v>142</v>
      </c>
      <c r="F344" s="522" t="s">
        <v>65</v>
      </c>
      <c r="G344" s="387">
        <f>G6*340000</f>
        <v>367200</v>
      </c>
      <c r="H344" s="615">
        <v>4</v>
      </c>
      <c r="I344" s="602">
        <f>+H344*G344</f>
        <v>1468800</v>
      </c>
      <c r="J344" s="616">
        <f>I344*21%</f>
        <v>308448</v>
      </c>
      <c r="K344" s="616">
        <f>SUM(I344:J344)</f>
        <v>1777248</v>
      </c>
      <c r="L344" s="163"/>
      <c r="M344" s="296"/>
      <c r="N344" s="86">
        <f>I344</f>
        <v>1468800</v>
      </c>
      <c r="O344" s="86">
        <f>I344-N344</f>
        <v>0</v>
      </c>
      <c r="P344" s="86">
        <f>I344-N344-O344</f>
        <v>0</v>
      </c>
      <c r="Q344" s="87"/>
      <c r="R344" s="55"/>
      <c r="S344" s="185"/>
    </row>
    <row r="345" spans="1:19" ht="15" customHeight="1">
      <c r="A345" s="5"/>
      <c r="B345" s="294"/>
      <c r="C345" s="832"/>
      <c r="D345" s="727" t="s">
        <v>604</v>
      </c>
      <c r="E345" s="566" t="s">
        <v>609</v>
      </c>
      <c r="F345" s="386"/>
      <c r="G345" s="685"/>
      <c r="H345" s="685"/>
      <c r="I345" s="674"/>
      <c r="J345" s="731"/>
      <c r="K345" s="732"/>
      <c r="L345" s="163"/>
      <c r="M345" s="296"/>
      <c r="N345" s="146"/>
      <c r="O345" s="140"/>
      <c r="P345" s="147"/>
      <c r="Q345" s="87"/>
      <c r="R345" s="55"/>
      <c r="S345" s="185"/>
    </row>
    <row r="346" spans="1:19" ht="15" customHeight="1">
      <c r="A346" s="5"/>
      <c r="B346" s="294"/>
      <c r="C346" s="832"/>
      <c r="D346" s="727"/>
      <c r="E346" s="84"/>
      <c r="F346" s="522" t="s">
        <v>33</v>
      </c>
      <c r="G346" s="387">
        <f>G6*100000</f>
        <v>108000</v>
      </c>
      <c r="H346" s="615">
        <f>$G$3+$G$4</f>
        <v>13</v>
      </c>
      <c r="I346" s="602">
        <f>+G346*H346</f>
        <v>1404000</v>
      </c>
      <c r="J346" s="616">
        <f>I346*21%</f>
        <v>294840</v>
      </c>
      <c r="K346" s="616">
        <f>SUM(I346:J346)</f>
        <v>1698840</v>
      </c>
      <c r="L346" s="163"/>
      <c r="M346" s="296"/>
      <c r="N346" s="86">
        <f>I346*30%</f>
        <v>421200</v>
      </c>
      <c r="O346" s="86">
        <f>I346*60%</f>
        <v>842400</v>
      </c>
      <c r="P346" s="86">
        <f t="shared" ref="P346" si="15">I346-N346-O346</f>
        <v>140400</v>
      </c>
      <c r="Q346" s="87"/>
      <c r="R346" s="55"/>
      <c r="S346" s="185"/>
    </row>
    <row r="347" spans="1:19" ht="15" customHeight="1">
      <c r="A347" s="5"/>
      <c r="B347" s="294"/>
      <c r="C347" s="817"/>
      <c r="D347" s="727" t="s">
        <v>605</v>
      </c>
      <c r="E347" s="122" t="s">
        <v>610</v>
      </c>
      <c r="F347" s="386"/>
      <c r="G347" s="685"/>
      <c r="H347" s="685"/>
      <c r="I347" s="674"/>
      <c r="J347" s="731"/>
      <c r="K347" s="732"/>
      <c r="L347" s="163"/>
      <c r="M347" s="296"/>
      <c r="N347" s="146"/>
      <c r="O347" s="140"/>
      <c r="P347" s="147"/>
      <c r="Q347" s="87"/>
      <c r="R347" s="55"/>
      <c r="S347" s="185"/>
    </row>
    <row r="348" spans="1:19" ht="15" customHeight="1">
      <c r="A348" s="5"/>
      <c r="B348" s="294"/>
      <c r="C348" s="832">
        <v>1</v>
      </c>
      <c r="D348" s="727"/>
      <c r="E348" s="119" t="s">
        <v>606</v>
      </c>
      <c r="F348" s="522" t="s">
        <v>65</v>
      </c>
      <c r="G348" s="387">
        <f>G6*320000</f>
        <v>345600</v>
      </c>
      <c r="H348" s="615">
        <v>1</v>
      </c>
      <c r="I348" s="602">
        <f>+G348*H348</f>
        <v>345600</v>
      </c>
      <c r="J348" s="616">
        <f>I348*21%</f>
        <v>72576</v>
      </c>
      <c r="K348" s="616">
        <f>SUM(I348:J348)</f>
        <v>418176</v>
      </c>
      <c r="L348" s="163"/>
      <c r="M348" s="296"/>
      <c r="N348" s="86">
        <f>I348*30%</f>
        <v>103680</v>
      </c>
      <c r="O348" s="86">
        <f>I348*60%</f>
        <v>207360</v>
      </c>
      <c r="P348" s="86">
        <f t="shared" ref="P348:P349" si="16">I348-N348-O348</f>
        <v>34560</v>
      </c>
      <c r="Q348" s="133"/>
      <c r="R348" s="55"/>
      <c r="S348" s="185"/>
    </row>
    <row r="349" spans="1:19" ht="15" customHeight="1">
      <c r="A349" s="5"/>
      <c r="B349" s="294"/>
      <c r="C349" s="832">
        <v>1</v>
      </c>
      <c r="D349" s="727"/>
      <c r="E349" s="119" t="s">
        <v>607</v>
      </c>
      <c r="F349" s="522" t="s">
        <v>33</v>
      </c>
      <c r="G349" s="387">
        <f>G6*320000*5</f>
        <v>1728000</v>
      </c>
      <c r="H349" s="718">
        <f>$G$4+0.5</f>
        <v>6.5</v>
      </c>
      <c r="I349" s="602">
        <f>+G349*H349</f>
        <v>11232000</v>
      </c>
      <c r="J349" s="616">
        <f>I349*21%</f>
        <v>2358720</v>
      </c>
      <c r="K349" s="616">
        <f>SUM(I349:J349)</f>
        <v>13590720</v>
      </c>
      <c r="L349" s="163"/>
      <c r="M349" s="296"/>
      <c r="N349" s="86">
        <f>I349*30%</f>
        <v>3369600</v>
      </c>
      <c r="O349" s="86">
        <f>I349*60%</f>
        <v>6739200</v>
      </c>
      <c r="P349" s="86">
        <f t="shared" si="16"/>
        <v>1123200</v>
      </c>
      <c r="Q349" s="133"/>
      <c r="R349" s="55"/>
      <c r="S349" s="185"/>
    </row>
    <row r="350" spans="1:19" ht="15" customHeight="1">
      <c r="A350" s="5"/>
      <c r="B350" s="294"/>
      <c r="C350" s="817"/>
      <c r="D350" s="727" t="s">
        <v>608</v>
      </c>
      <c r="E350" s="122" t="s">
        <v>611</v>
      </c>
      <c r="F350" s="386"/>
      <c r="G350" s="685"/>
      <c r="H350" s="685"/>
      <c r="I350" s="674"/>
      <c r="J350" s="731"/>
      <c r="K350" s="732"/>
      <c r="L350" s="163"/>
      <c r="M350" s="296"/>
      <c r="N350" s="146"/>
      <c r="O350" s="140"/>
      <c r="P350" s="147"/>
      <c r="Q350" s="87"/>
      <c r="R350" s="55"/>
      <c r="S350" s="185"/>
    </row>
    <row r="351" spans="1:19" ht="15" customHeight="1">
      <c r="A351" s="5"/>
      <c r="B351" s="294"/>
      <c r="C351" s="832">
        <v>1</v>
      </c>
      <c r="D351" s="727"/>
      <c r="E351" s="119" t="s">
        <v>614</v>
      </c>
      <c r="F351" s="522" t="s">
        <v>65</v>
      </c>
      <c r="G351" s="387">
        <f>G6*3200000</f>
        <v>3456000</v>
      </c>
      <c r="H351" s="718">
        <f>$G$4+0.5</f>
        <v>6.5</v>
      </c>
      <c r="I351" s="602">
        <f>+H351*G351</f>
        <v>22464000</v>
      </c>
      <c r="J351" s="616">
        <f>I351*21%</f>
        <v>4717440</v>
      </c>
      <c r="K351" s="616">
        <f>SUM(I351:J351)</f>
        <v>27181440</v>
      </c>
      <c r="L351" s="163"/>
      <c r="M351" s="296"/>
      <c r="N351" s="86">
        <f>I351*30%</f>
        <v>6739200</v>
      </c>
      <c r="O351" s="86">
        <f>I351*60%</f>
        <v>13478400</v>
      </c>
      <c r="P351" s="86">
        <f t="shared" ref="P351" si="17">I351-N351-O351</f>
        <v>2246400</v>
      </c>
      <c r="Q351" s="133"/>
      <c r="R351" s="55"/>
      <c r="S351" s="185"/>
    </row>
    <row r="352" spans="1:19" ht="15" customHeight="1">
      <c r="A352" s="5"/>
      <c r="B352" s="294"/>
      <c r="C352" s="832">
        <v>1</v>
      </c>
      <c r="D352" s="727"/>
      <c r="E352" s="119" t="s">
        <v>615</v>
      </c>
      <c r="F352" s="522" t="s">
        <v>33</v>
      </c>
      <c r="G352" s="387">
        <f>G6*32000*5</f>
        <v>172800</v>
      </c>
      <c r="H352" s="718">
        <f>$G$4+0.5</f>
        <v>6.5</v>
      </c>
      <c r="I352" s="602">
        <f>+H352*G352</f>
        <v>1123200</v>
      </c>
      <c r="J352" s="616">
        <f>I352*21%</f>
        <v>235872</v>
      </c>
      <c r="K352" s="616">
        <f>SUM(I352:J352)</f>
        <v>1359072</v>
      </c>
      <c r="L352" s="163"/>
      <c r="M352" s="296"/>
      <c r="N352" s="86">
        <f>I352*30%</f>
        <v>336960</v>
      </c>
      <c r="O352" s="86">
        <f>I352*60%</f>
        <v>673920</v>
      </c>
      <c r="P352" s="86">
        <f t="shared" ref="P352" si="18">I352-N352-O352</f>
        <v>112320</v>
      </c>
      <c r="Q352" s="133"/>
      <c r="R352" s="55"/>
      <c r="S352" s="185"/>
    </row>
    <row r="353" spans="1:19" ht="15" customHeight="1">
      <c r="A353" s="5"/>
      <c r="B353" s="294"/>
      <c r="C353" s="817"/>
      <c r="D353" s="727" t="s">
        <v>612</v>
      </c>
      <c r="E353" s="864" t="s">
        <v>613</v>
      </c>
      <c r="F353" s="968"/>
      <c r="G353" s="863"/>
      <c r="H353" s="863"/>
      <c r="I353" s="969"/>
      <c r="J353" s="731"/>
      <c r="K353" s="732"/>
      <c r="L353" s="163"/>
      <c r="M353" s="296"/>
      <c r="N353" s="146"/>
      <c r="O353" s="140"/>
      <c r="P353" s="147"/>
      <c r="Q353" s="87"/>
      <c r="R353" s="55"/>
      <c r="S353" s="185"/>
    </row>
    <row r="354" spans="1:19" ht="15" customHeight="1">
      <c r="A354" s="5"/>
      <c r="B354" s="294"/>
      <c r="C354" s="832"/>
      <c r="D354" s="727"/>
      <c r="E354" s="970"/>
      <c r="F354" s="971"/>
      <c r="G354" s="972"/>
      <c r="H354" s="973">
        <f>$G$4+0.5</f>
        <v>6.5</v>
      </c>
      <c r="I354" s="852">
        <f>+H354*G354</f>
        <v>0</v>
      </c>
      <c r="J354" s="616">
        <f>I354*21%</f>
        <v>0</v>
      </c>
      <c r="K354" s="616">
        <f>SUM(I354:J354)</f>
        <v>0</v>
      </c>
      <c r="L354" s="163"/>
      <c r="M354" s="296"/>
      <c r="N354" s="86">
        <f>I354*30%</f>
        <v>0</v>
      </c>
      <c r="O354" s="86">
        <f>I354*60%</f>
        <v>0</v>
      </c>
      <c r="P354" s="86">
        <f t="shared" ref="P354" si="19">I354-N354-O354</f>
        <v>0</v>
      </c>
      <c r="Q354" s="133"/>
      <c r="R354" s="55"/>
      <c r="S354" s="185"/>
    </row>
    <row r="355" spans="1:19" ht="15" customHeight="1">
      <c r="A355" s="5"/>
      <c r="B355" s="294"/>
      <c r="C355" s="817"/>
      <c r="D355" s="727" t="s">
        <v>616</v>
      </c>
      <c r="E355" s="122" t="s">
        <v>617</v>
      </c>
      <c r="F355" s="386"/>
      <c r="G355" s="685"/>
      <c r="H355" s="685"/>
      <c r="I355" s="674"/>
      <c r="J355" s="731"/>
      <c r="K355" s="732"/>
      <c r="L355" s="163"/>
      <c r="M355" s="296"/>
      <c r="N355" s="146"/>
      <c r="O355" s="140"/>
      <c r="P355" s="147"/>
      <c r="Q355" s="87"/>
      <c r="R355" s="55"/>
      <c r="S355" s="185"/>
    </row>
    <row r="356" spans="1:19" ht="15" customHeight="1">
      <c r="A356" s="5"/>
      <c r="B356" s="294"/>
      <c r="C356" s="832">
        <v>1</v>
      </c>
      <c r="D356" s="727"/>
      <c r="E356" s="119" t="s">
        <v>749</v>
      </c>
      <c r="F356" s="522" t="s">
        <v>33</v>
      </c>
      <c r="G356" s="387">
        <f>1800000*G6</f>
        <v>1944000.0000000002</v>
      </c>
      <c r="H356" s="718">
        <f>$G$4+0.5</f>
        <v>6.5</v>
      </c>
      <c r="I356" s="602">
        <f>+H356*G356</f>
        <v>12636000.000000002</v>
      </c>
      <c r="J356" s="616">
        <f>I356*21%</f>
        <v>2653560.0000000005</v>
      </c>
      <c r="K356" s="616">
        <f>SUM(I356:J356)</f>
        <v>15289560.000000002</v>
      </c>
      <c r="L356" s="163"/>
      <c r="M356" s="296"/>
      <c r="N356" s="86">
        <f>I356*30%</f>
        <v>3790800.0000000005</v>
      </c>
      <c r="O356" s="86">
        <f>I356*60%</f>
        <v>7581600.0000000009</v>
      </c>
      <c r="P356" s="86">
        <f t="shared" ref="P356" si="20">I356-N356-O356</f>
        <v>1263600.0000000009</v>
      </c>
      <c r="Q356" s="133"/>
      <c r="R356" s="55"/>
      <c r="S356" s="185"/>
    </row>
    <row r="357" spans="1:19" ht="15" customHeight="1">
      <c r="A357" s="5"/>
      <c r="B357" s="294"/>
      <c r="C357" s="817"/>
      <c r="D357" s="727" t="s">
        <v>618</v>
      </c>
      <c r="E357" s="122" t="s">
        <v>619</v>
      </c>
      <c r="F357" s="386"/>
      <c r="G357" s="685"/>
      <c r="H357" s="685"/>
      <c r="I357" s="674"/>
      <c r="J357" s="731"/>
      <c r="K357" s="732"/>
      <c r="L357" s="163"/>
      <c r="M357" s="296"/>
      <c r="N357" s="146"/>
      <c r="O357" s="140"/>
      <c r="P357" s="147"/>
      <c r="Q357" s="87"/>
      <c r="R357" s="55"/>
      <c r="S357" s="185"/>
    </row>
    <row r="358" spans="1:19" ht="15" customHeight="1">
      <c r="A358" s="5"/>
      <c r="B358" s="294"/>
      <c r="C358" s="832">
        <v>1</v>
      </c>
      <c r="D358" s="727"/>
      <c r="E358" s="119" t="s">
        <v>143</v>
      </c>
      <c r="F358" s="522" t="s">
        <v>33</v>
      </c>
      <c r="G358" s="387">
        <f>G6*330000*5</f>
        <v>1782000</v>
      </c>
      <c r="H358" s="615">
        <f>H352</f>
        <v>6.5</v>
      </c>
      <c r="I358" s="602">
        <f>+H358*G358</f>
        <v>11583000</v>
      </c>
      <c r="J358" s="616">
        <f>I358*21%</f>
        <v>2432430</v>
      </c>
      <c r="K358" s="616">
        <f>SUM(I358:J358)</f>
        <v>14015430</v>
      </c>
      <c r="L358" s="163"/>
      <c r="M358" s="296"/>
      <c r="N358" s="86">
        <f>I358*30%</f>
        <v>3474900</v>
      </c>
      <c r="O358" s="86">
        <f>I358*60%</f>
        <v>6949800</v>
      </c>
      <c r="P358" s="86">
        <f t="shared" ref="P358:P359" si="21">I358-N358-O358</f>
        <v>1158300</v>
      </c>
      <c r="Q358" s="133"/>
      <c r="R358" s="55"/>
      <c r="S358" s="185"/>
    </row>
    <row r="359" spans="1:19" ht="15" customHeight="1">
      <c r="A359" s="5"/>
      <c r="B359" s="294"/>
      <c r="C359" s="832">
        <v>1</v>
      </c>
      <c r="D359" s="727"/>
      <c r="E359" s="119" t="s">
        <v>322</v>
      </c>
      <c r="F359" s="522" t="s">
        <v>33</v>
      </c>
      <c r="G359" s="387">
        <f>G6*330000*5</f>
        <v>1782000</v>
      </c>
      <c r="H359" s="718">
        <f>$G$4</f>
        <v>6</v>
      </c>
      <c r="I359" s="602">
        <f>+G359*H359</f>
        <v>10692000</v>
      </c>
      <c r="J359" s="616">
        <f>I359*21%</f>
        <v>2245320</v>
      </c>
      <c r="K359" s="616">
        <f>SUM(I359:J359)</f>
        <v>12937320</v>
      </c>
      <c r="L359" s="163"/>
      <c r="M359" s="296"/>
      <c r="N359" s="86">
        <f>I359*30%</f>
        <v>3207600</v>
      </c>
      <c r="O359" s="86">
        <f>I359*60%</f>
        <v>6415200</v>
      </c>
      <c r="P359" s="86">
        <f t="shared" si="21"/>
        <v>1069200</v>
      </c>
      <c r="Q359" s="133"/>
      <c r="R359" s="55"/>
      <c r="S359" s="185"/>
    </row>
    <row r="360" spans="1:19" ht="15" customHeight="1">
      <c r="A360" s="5"/>
      <c r="B360" s="294"/>
      <c r="C360" s="817"/>
      <c r="D360" s="727" t="s">
        <v>620</v>
      </c>
      <c r="E360" s="122" t="s">
        <v>621</v>
      </c>
      <c r="F360" s="386"/>
      <c r="G360" s="685"/>
      <c r="H360" s="685"/>
      <c r="I360" s="674"/>
      <c r="J360" s="731"/>
      <c r="K360" s="732"/>
      <c r="L360" s="163"/>
      <c r="M360" s="296"/>
      <c r="N360" s="146"/>
      <c r="O360" s="140"/>
      <c r="P360" s="147"/>
      <c r="Q360" s="87"/>
      <c r="R360" s="55"/>
      <c r="S360" s="185"/>
    </row>
    <row r="361" spans="1:19" ht="15" customHeight="1">
      <c r="A361" s="5"/>
      <c r="B361" s="294"/>
      <c r="C361" s="832"/>
      <c r="D361" s="727"/>
      <c r="E361" s="119"/>
      <c r="F361" s="522" t="s">
        <v>33</v>
      </c>
      <c r="G361" s="387">
        <f>1800000*G6</f>
        <v>1944000.0000000002</v>
      </c>
      <c r="H361" s="718">
        <f>$G$4+0.5</f>
        <v>6.5</v>
      </c>
      <c r="I361" s="602">
        <f>+H361*G361</f>
        <v>12636000.000000002</v>
      </c>
      <c r="J361" s="616">
        <f>I361*21%</f>
        <v>2653560.0000000005</v>
      </c>
      <c r="K361" s="616">
        <f>SUM(I361:J361)</f>
        <v>15289560.000000002</v>
      </c>
      <c r="L361" s="163"/>
      <c r="M361" s="296"/>
      <c r="N361" s="86">
        <f>I361*30%</f>
        <v>3790800.0000000005</v>
      </c>
      <c r="O361" s="86">
        <f>I361*60%</f>
        <v>7581600.0000000009</v>
      </c>
      <c r="P361" s="86">
        <f t="shared" ref="P361" si="22">I361-N361-O361</f>
        <v>1263600.0000000009</v>
      </c>
      <c r="Q361" s="133"/>
      <c r="R361" s="55"/>
      <c r="S361" s="185"/>
    </row>
    <row r="362" spans="1:19" s="121" customFormat="1" ht="15" customHeight="1">
      <c r="B362" s="294"/>
      <c r="C362" s="832"/>
      <c r="D362" s="727" t="s">
        <v>622</v>
      </c>
      <c r="E362" s="122" t="s">
        <v>144</v>
      </c>
      <c r="F362" s="386"/>
      <c r="G362" s="685"/>
      <c r="H362" s="685"/>
      <c r="I362" s="674"/>
      <c r="J362" s="731"/>
      <c r="K362" s="732"/>
      <c r="L362" s="163"/>
      <c r="M362" s="296"/>
      <c r="N362" s="146"/>
      <c r="O362" s="140"/>
      <c r="P362" s="147"/>
      <c r="Q362" s="148"/>
      <c r="R362" s="126"/>
      <c r="S362" s="188"/>
    </row>
    <row r="363" spans="1:19" ht="15" customHeight="1">
      <c r="A363" s="5"/>
      <c r="B363" s="294"/>
      <c r="C363" s="832"/>
      <c r="D363" s="727"/>
      <c r="E363" s="119" t="s">
        <v>145</v>
      </c>
      <c r="F363" s="522" t="s">
        <v>146</v>
      </c>
      <c r="G363" s="387">
        <v>0</v>
      </c>
      <c r="H363" s="615">
        <v>0</v>
      </c>
      <c r="I363" s="602">
        <f>+H363*G363</f>
        <v>0</v>
      </c>
      <c r="J363" s="616"/>
      <c r="K363" s="616">
        <f>SUM(I363:J363)</f>
        <v>0</v>
      </c>
      <c r="L363" s="163"/>
      <c r="M363" s="296"/>
      <c r="N363" s="86">
        <f>I363*30%</f>
        <v>0</v>
      </c>
      <c r="O363" s="86">
        <f>I363*60%</f>
        <v>0</v>
      </c>
      <c r="P363" s="86">
        <f t="shared" ref="P363:P364" si="23">I363-N363-O363</f>
        <v>0</v>
      </c>
      <c r="Q363" s="87"/>
      <c r="R363" s="55"/>
      <c r="S363" s="185"/>
    </row>
    <row r="364" spans="1:19" ht="15" customHeight="1">
      <c r="A364" s="5"/>
      <c r="B364" s="294"/>
      <c r="C364" s="832"/>
      <c r="D364" s="727"/>
      <c r="E364" s="119" t="s">
        <v>147</v>
      </c>
      <c r="F364" s="522" t="s">
        <v>146</v>
      </c>
      <c r="G364" s="387">
        <v>0</v>
      </c>
      <c r="H364" s="615">
        <v>0</v>
      </c>
      <c r="I364" s="602">
        <f>+H364*G364</f>
        <v>0</v>
      </c>
      <c r="J364" s="616"/>
      <c r="K364" s="616">
        <f>SUM(I364:J364)</f>
        <v>0</v>
      </c>
      <c r="L364" s="163"/>
      <c r="M364" s="296"/>
      <c r="N364" s="86">
        <f>I364*30%</f>
        <v>0</v>
      </c>
      <c r="O364" s="86">
        <f>I364*60%</f>
        <v>0</v>
      </c>
      <c r="P364" s="86">
        <f t="shared" si="23"/>
        <v>0</v>
      </c>
      <c r="Q364" s="87"/>
      <c r="R364" s="55"/>
      <c r="S364" s="185"/>
    </row>
    <row r="365" spans="1:19" s="121" customFormat="1" ht="15" customHeight="1">
      <c r="B365" s="294"/>
      <c r="C365" s="832"/>
      <c r="D365" s="727" t="s">
        <v>623</v>
      </c>
      <c r="E365" s="122" t="s">
        <v>148</v>
      </c>
      <c r="F365" s="386"/>
      <c r="G365" s="685"/>
      <c r="H365" s="685"/>
      <c r="I365" s="674"/>
      <c r="J365" s="731"/>
      <c r="K365" s="732"/>
      <c r="L365" s="163"/>
      <c r="M365" s="296"/>
      <c r="N365" s="146"/>
      <c r="O365" s="140"/>
      <c r="P365" s="147"/>
      <c r="Q365" s="148"/>
      <c r="R365" s="126"/>
      <c r="S365" s="188"/>
    </row>
    <row r="366" spans="1:19" ht="15" customHeight="1">
      <c r="A366" s="5"/>
      <c r="B366" s="294"/>
      <c r="C366" s="832"/>
      <c r="D366" s="727"/>
      <c r="E366" s="119" t="s">
        <v>149</v>
      </c>
      <c r="F366" s="373" t="s">
        <v>21</v>
      </c>
      <c r="G366" s="387">
        <v>0</v>
      </c>
      <c r="H366" s="615">
        <v>0</v>
      </c>
      <c r="I366" s="602">
        <f>G366*H366</f>
        <v>0</v>
      </c>
      <c r="J366" s="616"/>
      <c r="K366" s="616">
        <f>SUM(I366:J366)</f>
        <v>0</v>
      </c>
      <c r="L366" s="163"/>
      <c r="M366" s="296"/>
      <c r="N366" s="86">
        <f>I366*30%</f>
        <v>0</v>
      </c>
      <c r="O366" s="86">
        <f>I366*60%</f>
        <v>0</v>
      </c>
      <c r="P366" s="86">
        <f t="shared" ref="P366:P367" si="24">I366-N366-O366</f>
        <v>0</v>
      </c>
      <c r="Q366" s="87"/>
      <c r="R366" s="55"/>
      <c r="S366" s="185"/>
    </row>
    <row r="367" spans="1:19" ht="15" customHeight="1">
      <c r="A367" s="5"/>
      <c r="B367" s="294"/>
      <c r="C367" s="832"/>
      <c r="D367" s="727"/>
      <c r="E367" s="119" t="s">
        <v>150</v>
      </c>
      <c r="F367" s="522" t="s">
        <v>146</v>
      </c>
      <c r="G367" s="387">
        <v>0</v>
      </c>
      <c r="H367" s="615">
        <v>0</v>
      </c>
      <c r="I367" s="602">
        <f>G367*H367</f>
        <v>0</v>
      </c>
      <c r="J367" s="616"/>
      <c r="K367" s="616">
        <f>SUM(I367:J367)</f>
        <v>0</v>
      </c>
      <c r="L367" s="163"/>
      <c r="M367" s="296"/>
      <c r="N367" s="86">
        <f>I367*30%</f>
        <v>0</v>
      </c>
      <c r="O367" s="86">
        <f>I367*60%</f>
        <v>0</v>
      </c>
      <c r="P367" s="86">
        <f t="shared" si="24"/>
        <v>0</v>
      </c>
      <c r="Q367" s="87"/>
      <c r="R367" s="55"/>
      <c r="S367" s="185"/>
    </row>
    <row r="368" spans="1:19" s="121" customFormat="1" ht="15" customHeight="1">
      <c r="B368" s="294"/>
      <c r="C368" s="832"/>
      <c r="D368" s="727" t="s">
        <v>624</v>
      </c>
      <c r="E368" s="122" t="s">
        <v>151</v>
      </c>
      <c r="F368" s="386"/>
      <c r="G368" s="685"/>
      <c r="H368" s="685"/>
      <c r="I368" s="674"/>
      <c r="J368" s="731"/>
      <c r="K368" s="732"/>
      <c r="L368" s="163"/>
      <c r="M368" s="296"/>
      <c r="N368" s="146"/>
      <c r="O368" s="140"/>
      <c r="P368" s="147"/>
      <c r="Q368" s="148"/>
      <c r="R368" s="126"/>
      <c r="S368" s="188"/>
    </row>
    <row r="369" spans="1:23" ht="15" customHeight="1">
      <c r="A369" s="5"/>
      <c r="B369" s="294"/>
      <c r="C369" s="832"/>
      <c r="D369" s="727"/>
      <c r="E369" s="119" t="s">
        <v>301</v>
      </c>
      <c r="F369" s="373" t="s">
        <v>65</v>
      </c>
      <c r="G369" s="387">
        <f>G6*430000</f>
        <v>464400.00000000006</v>
      </c>
      <c r="H369" s="615">
        <v>11</v>
      </c>
      <c r="I369" s="602">
        <f>+H369*G369</f>
        <v>5108400.0000000009</v>
      </c>
      <c r="J369" s="616">
        <f>I369*21%</f>
        <v>1072764.0000000002</v>
      </c>
      <c r="K369" s="616">
        <f>SUM(I369:J369)</f>
        <v>6181164.0000000009</v>
      </c>
      <c r="L369" s="163"/>
      <c r="M369" s="296"/>
      <c r="N369" s="86">
        <f>I369*30%</f>
        <v>1532520.0000000002</v>
      </c>
      <c r="O369" s="86">
        <f>I369*60%</f>
        <v>3065040.0000000005</v>
      </c>
      <c r="P369" s="86">
        <f t="shared" ref="P369" si="25">I369-N369-O369</f>
        <v>510840.00000000047</v>
      </c>
      <c r="Q369" s="87"/>
      <c r="R369" s="55"/>
      <c r="S369" s="185"/>
    </row>
    <row r="370" spans="1:23" ht="15" customHeight="1">
      <c r="A370" s="5"/>
      <c r="B370" s="294"/>
      <c r="C370" s="832"/>
      <c r="D370" s="727"/>
      <c r="E370" s="119" t="s">
        <v>307</v>
      </c>
      <c r="F370" s="373" t="s">
        <v>65</v>
      </c>
      <c r="G370" s="387">
        <f>G6*430000</f>
        <v>464400.00000000006</v>
      </c>
      <c r="H370" s="615">
        <v>11</v>
      </c>
      <c r="I370" s="602">
        <f>+H370*G370</f>
        <v>5108400.0000000009</v>
      </c>
      <c r="J370" s="616">
        <f>I370*21%</f>
        <v>1072764.0000000002</v>
      </c>
      <c r="K370" s="616">
        <f>SUM(I370:J370)</f>
        <v>6181164.0000000009</v>
      </c>
      <c r="L370" s="163"/>
      <c r="M370" s="296"/>
      <c r="N370" s="86">
        <f>I370*30%</f>
        <v>1532520.0000000002</v>
      </c>
      <c r="O370" s="86">
        <f>I370*60%</f>
        <v>3065040.0000000005</v>
      </c>
      <c r="P370" s="86">
        <f>I370-N370-O370</f>
        <v>510840.00000000047</v>
      </c>
      <c r="Q370" s="87"/>
      <c r="R370" s="55"/>
      <c r="S370" s="185"/>
    </row>
    <row r="371" spans="1:23" s="121" customFormat="1" ht="15" customHeight="1">
      <c r="B371" s="294"/>
      <c r="C371" s="832"/>
      <c r="D371" s="727" t="s">
        <v>625</v>
      </c>
      <c r="E371" s="122" t="s">
        <v>122</v>
      </c>
      <c r="F371" s="386"/>
      <c r="G371" s="685"/>
      <c r="H371" s="685"/>
      <c r="I371" s="674"/>
      <c r="J371" s="731"/>
      <c r="K371" s="732"/>
      <c r="L371" s="163"/>
      <c r="M371" s="296"/>
      <c r="N371" s="146"/>
      <c r="O371" s="140"/>
      <c r="P371" s="147"/>
      <c r="Q371" s="148"/>
      <c r="R371" s="126"/>
      <c r="S371" s="188"/>
    </row>
    <row r="372" spans="1:23" ht="15" customHeight="1">
      <c r="A372" s="5"/>
      <c r="B372" s="294"/>
      <c r="C372" s="832"/>
      <c r="D372" s="727"/>
      <c r="E372" s="119" t="s">
        <v>152</v>
      </c>
      <c r="F372" s="373" t="s">
        <v>21</v>
      </c>
      <c r="G372" s="387">
        <v>0</v>
      </c>
      <c r="H372" s="615">
        <v>0</v>
      </c>
      <c r="I372" s="602">
        <f>G372*H372</f>
        <v>0</v>
      </c>
      <c r="J372" s="616"/>
      <c r="K372" s="616">
        <f>SUM(I372:J372)</f>
        <v>0</v>
      </c>
      <c r="L372" s="163"/>
      <c r="M372" s="296"/>
      <c r="N372" s="86">
        <f>I372*30%</f>
        <v>0</v>
      </c>
      <c r="O372" s="86">
        <f>I372*60%</f>
        <v>0</v>
      </c>
      <c r="P372" s="86">
        <f>I372-N372-O372</f>
        <v>0</v>
      </c>
      <c r="Q372" s="87"/>
      <c r="R372" s="55"/>
      <c r="S372" s="185"/>
    </row>
    <row r="373" spans="1:23" ht="15" customHeight="1">
      <c r="A373" s="5"/>
      <c r="B373" s="294"/>
      <c r="C373" s="832"/>
      <c r="D373" s="727"/>
      <c r="E373" s="650" t="s">
        <v>153</v>
      </c>
      <c r="F373" s="373" t="s">
        <v>21</v>
      </c>
      <c r="G373" s="387">
        <v>0</v>
      </c>
      <c r="H373" s="615">
        <v>0</v>
      </c>
      <c r="I373" s="602">
        <f>+H373*G373</f>
        <v>0</v>
      </c>
      <c r="J373" s="616">
        <f>SUM(I372:I373)*21%</f>
        <v>0</v>
      </c>
      <c r="K373" s="616">
        <f>SUM(I373:J373)</f>
        <v>0</v>
      </c>
      <c r="L373" s="163"/>
      <c r="M373" s="296"/>
      <c r="N373" s="86">
        <f>I373*30%</f>
        <v>0</v>
      </c>
      <c r="O373" s="86">
        <f>I373*60%</f>
        <v>0</v>
      </c>
      <c r="P373" s="86">
        <f>I373-N373-O373</f>
        <v>0</v>
      </c>
      <c r="Q373" s="87"/>
      <c r="R373" s="55"/>
      <c r="S373" s="185"/>
    </row>
    <row r="374" spans="1:23" s="67" customFormat="1" ht="15" customHeight="1">
      <c r="A374" s="63"/>
      <c r="B374" s="295"/>
      <c r="C374" s="833">
        <f>SUM(C331:C373)</f>
        <v>7</v>
      </c>
      <c r="D374" s="722"/>
      <c r="E374" s="98"/>
      <c r="F374" s="92"/>
      <c r="G374" s="1045" t="s">
        <v>154</v>
      </c>
      <c r="H374" s="1045"/>
      <c r="I374" s="383">
        <f>SUM(I332:I373)</f>
        <v>110721400</v>
      </c>
      <c r="J374" s="265">
        <f>SUM(J332:J373)</f>
        <v>20521494</v>
      </c>
      <c r="K374" s="717">
        <f>SUM(K332:K373)</f>
        <v>131242894</v>
      </c>
      <c r="L374" s="354"/>
      <c r="M374" s="296"/>
      <c r="N374" s="94">
        <f>SUM(N332:N373)</f>
        <v>34620580</v>
      </c>
      <c r="O374" s="95">
        <f>SUM(O332:O373)</f>
        <v>65843560</v>
      </c>
      <c r="P374" s="96">
        <f>SUM(P332:P373)</f>
        <v>10257260.000000002</v>
      </c>
      <c r="Q374" s="379">
        <f>SUM(N374:P374)</f>
        <v>110721400</v>
      </c>
      <c r="R374" s="66"/>
      <c r="S374" s="186"/>
      <c r="W374" s="1"/>
    </row>
    <row r="375" spans="1:23" ht="30" customHeight="1">
      <c r="A375" s="5"/>
      <c r="B375" s="290"/>
      <c r="C375" s="807"/>
      <c r="E375" s="69"/>
      <c r="F375" s="8"/>
      <c r="G375" s="70"/>
      <c r="I375" s="70"/>
      <c r="J375" s="9"/>
      <c r="K375" s="9"/>
      <c r="L375" s="163"/>
      <c r="M375" s="296"/>
      <c r="N375" s="71"/>
      <c r="O375" s="71"/>
      <c r="P375" s="71"/>
      <c r="Q375" s="72"/>
      <c r="R375" s="22"/>
      <c r="S375" s="185"/>
    </row>
    <row r="376" spans="1:23" s="67" customFormat="1" ht="15" customHeight="1">
      <c r="A376" s="63"/>
      <c r="B376" s="293"/>
      <c r="C376" s="811"/>
      <c r="D376" s="755">
        <v>21</v>
      </c>
      <c r="E376" s="45" t="s">
        <v>155</v>
      </c>
      <c r="F376" s="78" t="s">
        <v>18</v>
      </c>
      <c r="G376" s="389" t="s">
        <v>19</v>
      </c>
      <c r="H376" s="364" t="s">
        <v>20</v>
      </c>
      <c r="I376" s="381" t="s">
        <v>9</v>
      </c>
      <c r="J376" s="81" t="s">
        <v>10</v>
      </c>
      <c r="K376" s="81" t="s">
        <v>11</v>
      </c>
      <c r="L376" s="165"/>
      <c r="M376" s="296"/>
      <c r="N376" s="83" t="s">
        <v>12</v>
      </c>
      <c r="O376" s="83" t="s">
        <v>13</v>
      </c>
      <c r="P376" s="83" t="s">
        <v>14</v>
      </c>
      <c r="Q376" s="378" t="s">
        <v>9</v>
      </c>
      <c r="R376" s="82"/>
      <c r="S376" s="186"/>
      <c r="W376" s="1"/>
    </row>
    <row r="377" spans="1:23" ht="15" customHeight="1">
      <c r="A377" s="5"/>
      <c r="B377" s="294"/>
      <c r="C377" s="812"/>
      <c r="D377" s="719" t="s">
        <v>587</v>
      </c>
      <c r="E377" s="122" t="s">
        <v>156</v>
      </c>
      <c r="F377" s="522" t="s">
        <v>33</v>
      </c>
      <c r="G377" s="387">
        <f>G6*1000000*122%</f>
        <v>1317600</v>
      </c>
      <c r="H377" s="615">
        <v>6</v>
      </c>
      <c r="I377" s="602">
        <f>G377*H377</f>
        <v>7905600</v>
      </c>
      <c r="J377" s="117">
        <f>I377*21%</f>
        <v>1660176</v>
      </c>
      <c r="K377" s="97">
        <f>I377+J377</f>
        <v>9565776</v>
      </c>
      <c r="L377" s="163"/>
      <c r="M377" s="296"/>
      <c r="N377" s="86">
        <f>I377/6</f>
        <v>1317600</v>
      </c>
      <c r="O377" s="86">
        <f>I377-N377</f>
        <v>6588000</v>
      </c>
      <c r="P377" s="86"/>
      <c r="Q377" s="87"/>
      <c r="R377" s="55"/>
      <c r="S377" s="185"/>
    </row>
    <row r="378" spans="1:23" ht="15" customHeight="1">
      <c r="A378" s="5"/>
      <c r="B378" s="294"/>
      <c r="C378" s="812"/>
      <c r="D378" s="719" t="s">
        <v>627</v>
      </c>
      <c r="E378" s="122" t="s">
        <v>157</v>
      </c>
      <c r="F378" s="522" t="s">
        <v>33</v>
      </c>
      <c r="G378" s="387">
        <f>G6*427000*122%</f>
        <v>562615.20000000007</v>
      </c>
      <c r="H378" s="615">
        <f>$G$4</f>
        <v>6</v>
      </c>
      <c r="I378" s="602">
        <f>+G378*H378</f>
        <v>3375691.2</v>
      </c>
      <c r="J378" s="117">
        <f>I378*21%</f>
        <v>708895.152</v>
      </c>
      <c r="K378" s="97">
        <f>I378+J378</f>
        <v>4084586.352</v>
      </c>
      <c r="L378" s="163"/>
      <c r="M378" s="296"/>
      <c r="N378" s="86"/>
      <c r="O378" s="86">
        <f>I378</f>
        <v>3375691.2</v>
      </c>
      <c r="P378" s="86"/>
      <c r="Q378" s="87"/>
      <c r="R378" s="55"/>
      <c r="S378" s="185"/>
    </row>
    <row r="379" spans="1:23" ht="15" customHeight="1">
      <c r="A379" s="5"/>
      <c r="B379" s="294"/>
      <c r="C379" s="812"/>
      <c r="D379" s="719" t="s">
        <v>628</v>
      </c>
      <c r="E379" s="733" t="s">
        <v>626</v>
      </c>
      <c r="F379" s="522" t="s">
        <v>234</v>
      </c>
      <c r="G379" s="615">
        <f>G6*2500000*122%</f>
        <v>3294000</v>
      </c>
      <c r="H379" s="615">
        <v>1</v>
      </c>
      <c r="I379" s="602">
        <f>G379*1</f>
        <v>3294000</v>
      </c>
      <c r="J379" s="117">
        <f>I379*21%</f>
        <v>691740</v>
      </c>
      <c r="K379" s="97">
        <f>I379+J379</f>
        <v>3985740</v>
      </c>
      <c r="L379" s="163"/>
      <c r="M379" s="296"/>
      <c r="N379" s="86">
        <f>I379*30%</f>
        <v>988200</v>
      </c>
      <c r="O379" s="86">
        <f>I379*60%</f>
        <v>1976400</v>
      </c>
      <c r="P379" s="86">
        <f>I379-N379-O379</f>
        <v>329400</v>
      </c>
      <c r="Q379" s="87"/>
      <c r="R379" s="55"/>
      <c r="S379" s="185"/>
    </row>
    <row r="380" spans="1:23" s="67" customFormat="1" ht="15" customHeight="1">
      <c r="A380" s="63"/>
      <c r="B380" s="295"/>
      <c r="C380" s="830">
        <f>SUM(C372:C379)</f>
        <v>7</v>
      </c>
      <c r="D380" s="722"/>
      <c r="E380" s="98"/>
      <c r="F380" s="92"/>
      <c r="G380" s="1041" t="s">
        <v>158</v>
      </c>
      <c r="H380" s="1041"/>
      <c r="I380" s="380">
        <f>SUM(I377:I379)</f>
        <v>14575291.199999999</v>
      </c>
      <c r="J380" s="93">
        <f>SUM(J377:J379)</f>
        <v>3060811.1519999998</v>
      </c>
      <c r="K380" s="93">
        <f>SUM(K377:K379)</f>
        <v>17636102.351999998</v>
      </c>
      <c r="L380" s="165"/>
      <c r="M380" s="296"/>
      <c r="N380" s="94">
        <f>SUM(N377:N379)</f>
        <v>2305800</v>
      </c>
      <c r="O380" s="95">
        <f>SUM(O377:O379)</f>
        <v>11940091.199999999</v>
      </c>
      <c r="P380" s="96">
        <f>SUM(P377:P379)</f>
        <v>329400</v>
      </c>
      <c r="Q380" s="379">
        <f>SUM(N380:P380)</f>
        <v>14575291.199999999</v>
      </c>
      <c r="R380" s="66"/>
      <c r="S380" s="186"/>
      <c r="W380" s="1"/>
    </row>
    <row r="381" spans="1:23" ht="30" customHeight="1">
      <c r="A381" s="5"/>
      <c r="B381" s="290"/>
      <c r="C381" s="807"/>
      <c r="E381" s="69"/>
      <c r="F381" s="8"/>
      <c r="G381" s="70"/>
      <c r="I381" s="70"/>
      <c r="J381" s="9"/>
      <c r="K381" s="9"/>
      <c r="L381" s="163"/>
      <c r="M381" s="296"/>
      <c r="N381" s="71"/>
      <c r="O381" s="71"/>
      <c r="P381" s="71"/>
      <c r="Q381" s="72"/>
      <c r="R381" s="22"/>
      <c r="S381" s="185"/>
    </row>
    <row r="382" spans="1:23" s="67" customFormat="1" ht="15" customHeight="1">
      <c r="A382" s="63"/>
      <c r="B382" s="293"/>
      <c r="C382" s="811"/>
      <c r="D382" s="755">
        <v>22</v>
      </c>
      <c r="E382" s="45" t="s">
        <v>159</v>
      </c>
      <c r="F382" s="78" t="s">
        <v>18</v>
      </c>
      <c r="G382" s="389" t="s">
        <v>19</v>
      </c>
      <c r="H382" s="80" t="s">
        <v>20</v>
      </c>
      <c r="I382" s="381" t="s">
        <v>9</v>
      </c>
      <c r="J382" s="81" t="s">
        <v>10</v>
      </c>
      <c r="K382" s="81" t="s">
        <v>11</v>
      </c>
      <c r="L382" s="165"/>
      <c r="M382" s="296"/>
      <c r="N382" s="83" t="s">
        <v>12</v>
      </c>
      <c r="O382" s="83" t="s">
        <v>13</v>
      </c>
      <c r="P382" s="191" t="s">
        <v>14</v>
      </c>
      <c r="Q382" s="378" t="s">
        <v>9</v>
      </c>
      <c r="R382" s="82"/>
      <c r="S382" s="186"/>
      <c r="W382" s="1"/>
    </row>
    <row r="383" spans="1:23" s="5" customFormat="1" ht="15" customHeight="1">
      <c r="B383" s="294"/>
      <c r="C383" s="812"/>
      <c r="D383" s="719" t="s">
        <v>630</v>
      </c>
      <c r="E383" s="122" t="s">
        <v>629</v>
      </c>
      <c r="F383" s="983" t="s">
        <v>160</v>
      </c>
      <c r="G383" s="985" t="s">
        <v>761</v>
      </c>
      <c r="H383" s="984" t="s">
        <v>161</v>
      </c>
      <c r="I383" s="699"/>
      <c r="J383" s="681"/>
      <c r="K383" s="682"/>
      <c r="L383" s="163"/>
      <c r="M383" s="296"/>
      <c r="N383" s="127"/>
      <c r="O383" s="128"/>
      <c r="P383" s="129"/>
      <c r="Q383" s="149"/>
      <c r="R383" s="55"/>
      <c r="S383" s="185"/>
    </row>
    <row r="384" spans="1:23" ht="15" customHeight="1">
      <c r="A384" s="5"/>
      <c r="B384" s="294"/>
      <c r="C384" s="812"/>
      <c r="D384" s="719"/>
      <c r="E384" s="119" t="s">
        <v>314</v>
      </c>
      <c r="F384" s="804">
        <f>C451</f>
        <v>129.75</v>
      </c>
      <c r="G384" s="803">
        <f>G6*40000</f>
        <v>43200</v>
      </c>
      <c r="H384" s="700">
        <f>K3</f>
        <v>30</v>
      </c>
      <c r="I384" s="602">
        <f>G384*H384*F384</f>
        <v>168156000</v>
      </c>
      <c r="J384" s="698"/>
      <c r="K384" s="647"/>
      <c r="L384" s="163"/>
      <c r="M384" s="296"/>
      <c r="N384" s="621"/>
      <c r="O384" s="622"/>
      <c r="P384" s="623"/>
      <c r="Q384" s="133"/>
      <c r="R384" s="55"/>
      <c r="S384" s="185"/>
    </row>
    <row r="385" spans="1:19" ht="15" customHeight="1">
      <c r="A385" s="5"/>
      <c r="B385" s="294"/>
      <c r="C385" s="812"/>
      <c r="D385" s="719"/>
      <c r="E385" s="131" t="s">
        <v>313</v>
      </c>
      <c r="F385" s="805">
        <f>H71+H74+H77</f>
        <v>240</v>
      </c>
      <c r="G385" s="803">
        <f>G6*40000</f>
        <v>43200</v>
      </c>
      <c r="H385" s="701">
        <v>1</v>
      </c>
      <c r="I385" s="86">
        <f>+G385*H385*F385</f>
        <v>10368000</v>
      </c>
      <c r="J385" s="97">
        <f>SUM(I384:I385)*21%</f>
        <v>37490040</v>
      </c>
      <c r="K385" s="97">
        <f>SUM(I384:I385)+J385</f>
        <v>216014040</v>
      </c>
      <c r="L385" s="163"/>
      <c r="M385" s="296"/>
      <c r="N385" s="86">
        <f>SUM(I384:I385)*20%</f>
        <v>35704800</v>
      </c>
      <c r="O385" s="86">
        <f>SUM(I384:I385)*80%</f>
        <v>142819200</v>
      </c>
      <c r="P385" s="86"/>
      <c r="Q385" s="87"/>
      <c r="R385" s="55"/>
      <c r="S385" s="185"/>
    </row>
    <row r="386" spans="1:19" s="121" customFormat="1" ht="15" customHeight="1">
      <c r="B386" s="294"/>
      <c r="C386" s="812"/>
      <c r="D386" s="719" t="s">
        <v>631</v>
      </c>
      <c r="E386" s="122" t="s">
        <v>351</v>
      </c>
      <c r="F386" s="131"/>
      <c r="G386" s="625"/>
      <c r="H386" s="123"/>
      <c r="I386" s="124"/>
      <c r="J386" s="681"/>
      <c r="K386" s="682"/>
      <c r="L386" s="163"/>
      <c r="M386" s="296"/>
      <c r="N386" s="127"/>
      <c r="O386" s="128"/>
      <c r="P386" s="129"/>
      <c r="Q386" s="148"/>
      <c r="R386" s="126"/>
      <c r="S386" s="188"/>
    </row>
    <row r="387" spans="1:19" s="121" customFormat="1" ht="15" customHeight="1">
      <c r="B387" s="294"/>
      <c r="C387" s="812"/>
      <c r="D387" s="719"/>
      <c r="E387" s="754" t="s">
        <v>633</v>
      </c>
      <c r="F387" s="131"/>
      <c r="I387" s="150"/>
      <c r="J387" s="676"/>
      <c r="K387" s="104"/>
      <c r="L387" s="163"/>
      <c r="M387" s="296"/>
      <c r="N387" s="151"/>
      <c r="O387" s="152"/>
      <c r="P387" s="148"/>
      <c r="Q387" s="148"/>
      <c r="R387" s="126"/>
      <c r="S387" s="188"/>
    </row>
    <row r="388" spans="1:19" ht="15" customHeight="1">
      <c r="A388" s="5"/>
      <c r="B388" s="294"/>
      <c r="C388" s="812"/>
      <c r="D388" s="719"/>
      <c r="E388" s="119" t="s">
        <v>162</v>
      </c>
      <c r="F388" s="137"/>
      <c r="G388" s="694"/>
      <c r="H388" s="100"/>
      <c r="I388" s="103"/>
      <c r="J388" s="698"/>
      <c r="K388" s="647"/>
      <c r="L388" s="163"/>
      <c r="M388" s="296"/>
      <c r="N388" s="621"/>
      <c r="O388" s="622"/>
      <c r="P388" s="623"/>
      <c r="Q388" s="133"/>
      <c r="R388" s="55"/>
      <c r="S388" s="185"/>
    </row>
    <row r="389" spans="1:19" ht="15" customHeight="1">
      <c r="A389" s="5"/>
      <c r="B389" s="294"/>
      <c r="C389" s="812"/>
      <c r="D389" s="719"/>
      <c r="E389" s="131" t="s">
        <v>163</v>
      </c>
      <c r="F389" s="89" t="s">
        <v>21</v>
      </c>
      <c r="G389" s="580">
        <v>0</v>
      </c>
      <c r="H389" s="86">
        <v>0</v>
      </c>
      <c r="I389" s="86">
        <f>+G389*H389</f>
        <v>0</v>
      </c>
      <c r="J389" s="97">
        <f>SUM(I389)*21%</f>
        <v>0</v>
      </c>
      <c r="K389" s="97">
        <f>SUM(I389)+J389</f>
        <v>0</v>
      </c>
      <c r="L389" s="163"/>
      <c r="M389" s="296"/>
      <c r="N389" s="86">
        <f>I389</f>
        <v>0</v>
      </c>
      <c r="O389" s="86"/>
      <c r="P389" s="86"/>
      <c r="Q389" s="87"/>
      <c r="R389" s="55"/>
      <c r="S389" s="185"/>
    </row>
    <row r="390" spans="1:19" ht="15" customHeight="1">
      <c r="A390" s="5"/>
      <c r="B390" s="294"/>
      <c r="C390" s="812"/>
      <c r="D390" s="719"/>
      <c r="E390" s="131" t="s">
        <v>164</v>
      </c>
      <c r="F390" s="89" t="s">
        <v>21</v>
      </c>
      <c r="G390" s="580">
        <v>0</v>
      </c>
      <c r="H390" s="86">
        <v>0</v>
      </c>
      <c r="I390" s="86">
        <f>+G390*H390</f>
        <v>0</v>
      </c>
      <c r="J390" s="97">
        <f>SUM(I390)*21%</f>
        <v>0</v>
      </c>
      <c r="K390" s="97">
        <f>SUM(I390)+J390</f>
        <v>0</v>
      </c>
      <c r="L390" s="163"/>
      <c r="M390" s="296"/>
      <c r="N390" s="86">
        <f>I390</f>
        <v>0</v>
      </c>
      <c r="O390" s="86"/>
      <c r="P390" s="86"/>
      <c r="Q390" s="87"/>
      <c r="R390" s="55"/>
      <c r="S390" s="185"/>
    </row>
    <row r="391" spans="1:19" ht="15" customHeight="1">
      <c r="A391" s="5"/>
      <c r="B391" s="294"/>
      <c r="C391" s="812"/>
      <c r="D391" s="719"/>
      <c r="E391" s="131" t="s">
        <v>13</v>
      </c>
      <c r="F391" s="132"/>
      <c r="G391" s="669"/>
      <c r="H391" s="612"/>
      <c r="I391" s="86"/>
      <c r="J391" s="670"/>
      <c r="K391" s="117"/>
      <c r="L391" s="163"/>
      <c r="M391" s="296"/>
      <c r="N391" s="132"/>
      <c r="O391" s="115"/>
      <c r="P391" s="612"/>
      <c r="Q391" s="133"/>
      <c r="R391" s="55"/>
      <c r="S391" s="185"/>
    </row>
    <row r="392" spans="1:19" ht="15" customHeight="1">
      <c r="A392" s="5"/>
      <c r="B392" s="294"/>
      <c r="C392" s="812"/>
      <c r="D392" s="719"/>
      <c r="E392" s="131" t="s">
        <v>165</v>
      </c>
      <c r="F392" s="89" t="s">
        <v>21</v>
      </c>
      <c r="G392" s="580">
        <v>0</v>
      </c>
      <c r="H392" s="86">
        <v>0</v>
      </c>
      <c r="I392" s="86">
        <f>+G392*H392</f>
        <v>0</v>
      </c>
      <c r="J392" s="97">
        <f>SUM(I392)*21%</f>
        <v>0</v>
      </c>
      <c r="K392" s="97">
        <f>SUM(I392)+J392</f>
        <v>0</v>
      </c>
      <c r="L392" s="163"/>
      <c r="M392" s="296"/>
      <c r="N392" s="86"/>
      <c r="O392" s="86">
        <f>I392</f>
        <v>0</v>
      </c>
      <c r="P392" s="86"/>
      <c r="Q392" s="87"/>
      <c r="R392" s="55"/>
      <c r="S392" s="185"/>
    </row>
    <row r="393" spans="1:19" ht="15" customHeight="1">
      <c r="A393" s="5"/>
      <c r="B393" s="294"/>
      <c r="C393" s="812"/>
      <c r="D393" s="719"/>
      <c r="E393" s="131" t="s">
        <v>166</v>
      </c>
      <c r="F393" s="89" t="s">
        <v>21</v>
      </c>
      <c r="G393" s="580">
        <v>0</v>
      </c>
      <c r="H393" s="86">
        <v>0</v>
      </c>
      <c r="I393" s="86">
        <f>+G393*H393</f>
        <v>0</v>
      </c>
      <c r="J393" s="97">
        <f>SUM(I393)*21%</f>
        <v>0</v>
      </c>
      <c r="K393" s="97">
        <f>SUM(I393)+J393</f>
        <v>0</v>
      </c>
      <c r="L393" s="163"/>
      <c r="M393" s="296"/>
      <c r="N393" s="86"/>
      <c r="O393" s="86">
        <f>I393</f>
        <v>0</v>
      </c>
      <c r="P393" s="86"/>
      <c r="Q393" s="87"/>
      <c r="R393" s="55"/>
      <c r="S393" s="185"/>
    </row>
    <row r="394" spans="1:19" ht="15" customHeight="1">
      <c r="A394" s="5"/>
      <c r="B394" s="294"/>
      <c r="C394" s="812"/>
      <c r="D394" s="719"/>
      <c r="E394" s="405" t="s">
        <v>327</v>
      </c>
      <c r="F394" s="89" t="s">
        <v>21</v>
      </c>
      <c r="G394" s="580">
        <v>0</v>
      </c>
      <c r="H394" s="86">
        <v>0</v>
      </c>
      <c r="I394" s="86">
        <f>+G394*H394</f>
        <v>0</v>
      </c>
      <c r="J394" s="97">
        <f>SUM(I394)*21%</f>
        <v>0</v>
      </c>
      <c r="K394" s="97">
        <f>SUM(I394)+J394</f>
        <v>0</v>
      </c>
      <c r="L394" s="163"/>
      <c r="M394" s="296"/>
      <c r="N394" s="86"/>
      <c r="O394" s="86">
        <f>I394</f>
        <v>0</v>
      </c>
      <c r="P394" s="86"/>
      <c r="Q394" s="87"/>
      <c r="R394" s="55"/>
      <c r="S394" s="185"/>
    </row>
    <row r="395" spans="1:19" ht="15" customHeight="1">
      <c r="A395" s="5"/>
      <c r="B395" s="294"/>
      <c r="C395" s="812"/>
      <c r="D395" s="719"/>
      <c r="E395" s="131" t="s">
        <v>167</v>
      </c>
      <c r="F395" s="132"/>
      <c r="G395" s="669"/>
      <c r="H395" s="612"/>
      <c r="I395" s="86"/>
      <c r="J395" s="670"/>
      <c r="K395" s="117"/>
      <c r="L395" s="163"/>
      <c r="M395" s="296"/>
      <c r="N395" s="132"/>
      <c r="O395" s="115"/>
      <c r="P395" s="612"/>
      <c r="Q395" s="133"/>
      <c r="R395" s="55"/>
      <c r="S395" s="185"/>
    </row>
    <row r="396" spans="1:19" ht="15" customHeight="1">
      <c r="A396" s="5"/>
      <c r="B396" s="294"/>
      <c r="C396" s="812"/>
      <c r="D396" s="719"/>
      <c r="E396" s="131" t="s">
        <v>163</v>
      </c>
      <c r="F396" s="89" t="s">
        <v>21</v>
      </c>
      <c r="G396" s="580">
        <v>0</v>
      </c>
      <c r="H396" s="86">
        <v>0</v>
      </c>
      <c r="I396" s="86">
        <f>+G396*H396</f>
        <v>0</v>
      </c>
      <c r="J396" s="97">
        <f>SUM(I396)*21%</f>
        <v>0</v>
      </c>
      <c r="K396" s="97">
        <f>SUM(I396)+J396</f>
        <v>0</v>
      </c>
      <c r="L396" s="163"/>
      <c r="M396" s="296"/>
      <c r="N396" s="86"/>
      <c r="O396" s="86"/>
      <c r="P396" s="86">
        <f>I396</f>
        <v>0</v>
      </c>
      <c r="Q396" s="87"/>
      <c r="R396" s="55"/>
      <c r="S396" s="185"/>
    </row>
    <row r="397" spans="1:19" ht="15" customHeight="1">
      <c r="A397" s="5"/>
      <c r="B397" s="294"/>
      <c r="C397" s="812"/>
      <c r="D397" s="719"/>
      <c r="E397" s="131" t="s">
        <v>164</v>
      </c>
      <c r="F397" s="573" t="s">
        <v>21</v>
      </c>
      <c r="G397" s="585">
        <v>0</v>
      </c>
      <c r="H397" s="677">
        <v>0</v>
      </c>
      <c r="I397" s="677">
        <f>+G397*H397</f>
        <v>0</v>
      </c>
      <c r="J397" s="712">
        <f>SUM(I397)*21%</f>
        <v>0</v>
      </c>
      <c r="K397" s="712">
        <f>SUM(I397)+J397</f>
        <v>0</v>
      </c>
      <c r="L397" s="163"/>
      <c r="M397" s="296"/>
      <c r="N397" s="86"/>
      <c r="O397" s="86"/>
      <c r="P397" s="86">
        <f>I397</f>
        <v>0</v>
      </c>
      <c r="Q397" s="87"/>
      <c r="R397" s="55"/>
      <c r="S397" s="185"/>
    </row>
    <row r="398" spans="1:19" s="121" customFormat="1" ht="15" customHeight="1">
      <c r="B398" s="294"/>
      <c r="C398" s="812"/>
      <c r="D398" s="719" t="s">
        <v>632</v>
      </c>
      <c r="E398" s="560" t="s">
        <v>634</v>
      </c>
      <c r="F398" s="737"/>
      <c r="G398" s="683"/>
      <c r="H398" s="738"/>
      <c r="I398" s="739"/>
      <c r="J398" s="740"/>
      <c r="K398" s="741"/>
      <c r="L398" s="163"/>
      <c r="M398" s="296"/>
      <c r="N398" s="127"/>
      <c r="O398" s="128"/>
      <c r="P398" s="129"/>
      <c r="Q398" s="148"/>
      <c r="R398" s="126"/>
      <c r="S398" s="188"/>
    </row>
    <row r="399" spans="1:19" ht="15" customHeight="1">
      <c r="A399" s="5"/>
      <c r="B399" s="294"/>
      <c r="C399" s="812"/>
      <c r="D399" s="719"/>
      <c r="E399" s="748" t="s">
        <v>162</v>
      </c>
      <c r="F399" s="137"/>
      <c r="G399" s="121"/>
      <c r="H399" s="100"/>
      <c r="I399" s="103"/>
      <c r="J399" s="698"/>
      <c r="K399" s="742"/>
      <c r="L399" s="163"/>
      <c r="M399" s="296"/>
      <c r="N399" s="621"/>
      <c r="O399" s="622"/>
      <c r="P399" s="623"/>
      <c r="Q399" s="133"/>
      <c r="R399" s="55"/>
      <c r="S399" s="185"/>
    </row>
    <row r="400" spans="1:19" ht="15" customHeight="1">
      <c r="A400" s="5"/>
      <c r="B400" s="294"/>
      <c r="C400" s="812"/>
      <c r="D400" s="719"/>
      <c r="E400" s="645" t="s">
        <v>163</v>
      </c>
      <c r="F400" s="89" t="s">
        <v>21</v>
      </c>
      <c r="G400" s="580">
        <v>0</v>
      </c>
      <c r="H400" s="86">
        <v>0</v>
      </c>
      <c r="I400" s="86">
        <f>+G400*H400</f>
        <v>0</v>
      </c>
      <c r="J400" s="97">
        <f>SUM(I400)*21%</f>
        <v>0</v>
      </c>
      <c r="K400" s="743">
        <f>SUM(I400)+J400</f>
        <v>0</v>
      </c>
      <c r="L400" s="163"/>
      <c r="M400" s="296"/>
      <c r="N400" s="86">
        <f>I400</f>
        <v>0</v>
      </c>
      <c r="O400" s="86"/>
      <c r="P400" s="86"/>
      <c r="Q400" s="87"/>
      <c r="R400" s="55"/>
      <c r="S400" s="185"/>
    </row>
    <row r="401" spans="1:23" ht="15" customHeight="1">
      <c r="A401" s="5"/>
      <c r="B401" s="294"/>
      <c r="C401" s="812"/>
      <c r="D401" s="719"/>
      <c r="E401" s="645" t="s">
        <v>164</v>
      </c>
      <c r="F401" s="89" t="s">
        <v>21</v>
      </c>
      <c r="G401" s="580">
        <v>0</v>
      </c>
      <c r="H401" s="86">
        <v>0</v>
      </c>
      <c r="I401" s="86">
        <f>+G401*H401</f>
        <v>0</v>
      </c>
      <c r="J401" s="97">
        <f>SUM(I401)*21%</f>
        <v>0</v>
      </c>
      <c r="K401" s="743">
        <f>SUM(I401)+J401</f>
        <v>0</v>
      </c>
      <c r="L401" s="163"/>
      <c r="M401" s="296"/>
      <c r="N401" s="86">
        <f>I401</f>
        <v>0</v>
      </c>
      <c r="O401" s="86"/>
      <c r="P401" s="86"/>
      <c r="Q401" s="87"/>
      <c r="R401" s="55"/>
      <c r="S401" s="185"/>
    </row>
    <row r="402" spans="1:23" ht="15" customHeight="1">
      <c r="A402" s="5"/>
      <c r="B402" s="294"/>
      <c r="C402" s="812"/>
      <c r="D402" s="719"/>
      <c r="E402" s="645" t="s">
        <v>13</v>
      </c>
      <c r="F402" s="132"/>
      <c r="G402" s="669"/>
      <c r="H402" s="612"/>
      <c r="I402" s="86"/>
      <c r="J402" s="670"/>
      <c r="K402" s="744"/>
      <c r="L402" s="163"/>
      <c r="M402" s="296"/>
      <c r="N402" s="132"/>
      <c r="O402" s="115"/>
      <c r="P402" s="612"/>
      <c r="Q402" s="133"/>
      <c r="R402" s="55"/>
      <c r="S402" s="185"/>
    </row>
    <row r="403" spans="1:23" ht="15" customHeight="1">
      <c r="A403" s="5"/>
      <c r="B403" s="294"/>
      <c r="C403" s="812"/>
      <c r="D403" s="719"/>
      <c r="E403" s="645" t="s">
        <v>165</v>
      </c>
      <c r="F403" s="89" t="s">
        <v>21</v>
      </c>
      <c r="G403" s="580">
        <v>0</v>
      </c>
      <c r="H403" s="86">
        <v>0</v>
      </c>
      <c r="I403" s="86">
        <f>+G403*H403</f>
        <v>0</v>
      </c>
      <c r="J403" s="97">
        <f>SUM(I403)*21%</f>
        <v>0</v>
      </c>
      <c r="K403" s="743">
        <f>SUM(I403)+J403</f>
        <v>0</v>
      </c>
      <c r="L403" s="163"/>
      <c r="M403" s="296"/>
      <c r="N403" s="86"/>
      <c r="O403" s="86">
        <f>I403</f>
        <v>0</v>
      </c>
      <c r="P403" s="86"/>
      <c r="Q403" s="87"/>
      <c r="R403" s="55"/>
      <c r="S403" s="185"/>
    </row>
    <row r="404" spans="1:23" ht="15" customHeight="1">
      <c r="A404" s="5"/>
      <c r="B404" s="294"/>
      <c r="C404" s="812"/>
      <c r="D404" s="719"/>
      <c r="E404" s="645" t="s">
        <v>166</v>
      </c>
      <c r="F404" s="89" t="s">
        <v>21</v>
      </c>
      <c r="G404" s="580">
        <v>0</v>
      </c>
      <c r="H404" s="86">
        <v>0</v>
      </c>
      <c r="I404" s="86">
        <f>+G404*H404</f>
        <v>0</v>
      </c>
      <c r="J404" s="97">
        <f>SUM(I404)*21%</f>
        <v>0</v>
      </c>
      <c r="K404" s="743">
        <f>SUM(I404)+J404</f>
        <v>0</v>
      </c>
      <c r="L404" s="163"/>
      <c r="M404" s="296"/>
      <c r="N404" s="86"/>
      <c r="O404" s="86">
        <f>I404</f>
        <v>0</v>
      </c>
      <c r="P404" s="86"/>
      <c r="Q404" s="87"/>
      <c r="R404" s="55"/>
      <c r="S404" s="185"/>
    </row>
    <row r="405" spans="1:23" ht="15" customHeight="1">
      <c r="A405" s="5"/>
      <c r="B405" s="294"/>
      <c r="C405" s="812"/>
      <c r="D405" s="719"/>
      <c r="E405" s="745" t="s">
        <v>327</v>
      </c>
      <c r="F405" s="89" t="s">
        <v>21</v>
      </c>
      <c r="G405" s="580">
        <v>0</v>
      </c>
      <c r="H405" s="86">
        <v>0</v>
      </c>
      <c r="I405" s="86">
        <f>+G405*H405</f>
        <v>0</v>
      </c>
      <c r="J405" s="97">
        <f>SUM(I405)*21%</f>
        <v>0</v>
      </c>
      <c r="K405" s="743">
        <f>SUM(I405)+J405</f>
        <v>0</v>
      </c>
      <c r="L405" s="163"/>
      <c r="M405" s="296"/>
      <c r="N405" s="86"/>
      <c r="O405" s="86">
        <f>I405</f>
        <v>0</v>
      </c>
      <c r="P405" s="86"/>
      <c r="Q405" s="87"/>
      <c r="R405" s="55"/>
      <c r="S405" s="185"/>
    </row>
    <row r="406" spans="1:23" ht="15" customHeight="1">
      <c r="A406" s="5"/>
      <c r="B406" s="294"/>
      <c r="C406" s="812"/>
      <c r="D406" s="719"/>
      <c r="E406" s="645" t="s">
        <v>167</v>
      </c>
      <c r="F406" s="132"/>
      <c r="G406" s="669"/>
      <c r="H406" s="612"/>
      <c r="I406" s="86"/>
      <c r="J406" s="670"/>
      <c r="K406" s="744"/>
      <c r="L406" s="163"/>
      <c r="M406" s="296"/>
      <c r="N406" s="132"/>
      <c r="O406" s="115"/>
      <c r="P406" s="612"/>
      <c r="Q406" s="133"/>
      <c r="R406" s="55"/>
      <c r="S406" s="185"/>
    </row>
    <row r="407" spans="1:23" ht="15" customHeight="1">
      <c r="A407" s="5"/>
      <c r="B407" s="294"/>
      <c r="C407" s="812"/>
      <c r="D407" s="719"/>
      <c r="E407" s="645" t="s">
        <v>163</v>
      </c>
      <c r="F407" s="89" t="s">
        <v>21</v>
      </c>
      <c r="G407" s="580">
        <v>0</v>
      </c>
      <c r="H407" s="86">
        <v>0</v>
      </c>
      <c r="I407" s="86">
        <f>+G407*H407</f>
        <v>0</v>
      </c>
      <c r="J407" s="97">
        <f>SUM(I407)*21%</f>
        <v>0</v>
      </c>
      <c r="K407" s="743">
        <f>SUM(I407)+J407</f>
        <v>0</v>
      </c>
      <c r="L407" s="163"/>
      <c r="M407" s="296"/>
      <c r="N407" s="86"/>
      <c r="O407" s="86"/>
      <c r="P407" s="86">
        <f>I407</f>
        <v>0</v>
      </c>
      <c r="Q407" s="87"/>
      <c r="R407" s="55"/>
      <c r="S407" s="185"/>
    </row>
    <row r="408" spans="1:23" ht="15" customHeight="1">
      <c r="A408" s="5"/>
      <c r="B408" s="294"/>
      <c r="C408" s="812"/>
      <c r="D408" s="719"/>
      <c r="E408" s="746" t="s">
        <v>164</v>
      </c>
      <c r="F408" s="747" t="s">
        <v>21</v>
      </c>
      <c r="G408" s="588">
        <v>0</v>
      </c>
      <c r="H408" s="590">
        <v>0</v>
      </c>
      <c r="I408" s="590">
        <f>+G408*H408</f>
        <v>0</v>
      </c>
      <c r="J408" s="713">
        <f>SUM(I408)*21%</f>
        <v>0</v>
      </c>
      <c r="K408" s="714">
        <f>SUM(I408)+J408</f>
        <v>0</v>
      </c>
      <c r="L408" s="163"/>
      <c r="M408" s="296"/>
      <c r="N408" s="86"/>
      <c r="O408" s="86"/>
      <c r="P408" s="86">
        <f>I408</f>
        <v>0</v>
      </c>
      <c r="Q408" s="87"/>
      <c r="R408" s="55"/>
      <c r="S408" s="185"/>
    </row>
    <row r="409" spans="1:23" ht="15" customHeight="1">
      <c r="A409" s="5"/>
      <c r="B409" s="294"/>
      <c r="C409" s="812"/>
      <c r="D409" s="719" t="s">
        <v>635</v>
      </c>
      <c r="E409" s="753" t="s">
        <v>637</v>
      </c>
      <c r="F409" s="89" t="s">
        <v>168</v>
      </c>
      <c r="G409" s="288">
        <f>G6*50000</f>
        <v>54000</v>
      </c>
      <c r="H409" s="86">
        <f>G4</f>
        <v>6</v>
      </c>
      <c r="I409" s="86">
        <f>G409*H409</f>
        <v>324000</v>
      </c>
      <c r="J409" s="97">
        <v>0</v>
      </c>
      <c r="K409" s="97">
        <f>SUM(I409)+J409</f>
        <v>324000</v>
      </c>
      <c r="L409" s="163"/>
      <c r="M409" s="296"/>
      <c r="N409" s="86"/>
      <c r="O409" s="86">
        <f>I409</f>
        <v>324000</v>
      </c>
      <c r="P409" s="86"/>
      <c r="Q409" s="87"/>
      <c r="R409" s="55"/>
      <c r="S409" s="185"/>
    </row>
    <row r="410" spans="1:23" s="121" customFormat="1" ht="15" customHeight="1">
      <c r="B410" s="294"/>
      <c r="C410" s="812"/>
      <c r="D410" s="719" t="s">
        <v>636</v>
      </c>
      <c r="E410" s="538" t="s">
        <v>122</v>
      </c>
      <c r="F410" s="749"/>
      <c r="G410" s="734"/>
      <c r="H410" s="619"/>
      <c r="I410" s="628"/>
      <c r="J410" s="735"/>
      <c r="K410" s="736"/>
      <c r="L410" s="163"/>
      <c r="M410" s="296"/>
      <c r="N410" s="132"/>
      <c r="O410" s="115"/>
      <c r="P410" s="612"/>
      <c r="Q410" s="148"/>
      <c r="R410" s="126"/>
      <c r="S410" s="188"/>
    </row>
    <row r="411" spans="1:23" ht="15" customHeight="1">
      <c r="A411" s="5"/>
      <c r="B411" s="294"/>
      <c r="C411" s="812"/>
      <c r="D411" s="719"/>
      <c r="E411" s="751" t="s">
        <v>279</v>
      </c>
      <c r="F411" s="750" t="s">
        <v>21</v>
      </c>
      <c r="G411" s="288">
        <f>G6*200000*122%</f>
        <v>263520</v>
      </c>
      <c r="H411" s="86">
        <v>1</v>
      </c>
      <c r="I411" s="86">
        <f>G411*H411</f>
        <v>263520</v>
      </c>
      <c r="J411" s="97">
        <f>SUM(I411)*21%</f>
        <v>55339.199999999997</v>
      </c>
      <c r="K411" s="97">
        <f>SUM(I411)+J411</f>
        <v>318859.2</v>
      </c>
      <c r="L411" s="163"/>
      <c r="M411" s="296"/>
      <c r="N411" s="680"/>
      <c r="O411" s="679">
        <f>I411</f>
        <v>263520</v>
      </c>
      <c r="P411" s="680"/>
      <c r="Q411" s="87"/>
      <c r="R411" s="55"/>
      <c r="S411" s="185"/>
    </row>
    <row r="412" spans="1:23" ht="15" customHeight="1">
      <c r="A412" s="5"/>
      <c r="B412" s="294"/>
      <c r="C412" s="812"/>
      <c r="D412" s="719"/>
      <c r="E412" s="752" t="s">
        <v>280</v>
      </c>
      <c r="F412" s="750" t="s">
        <v>21</v>
      </c>
      <c r="G412" s="288">
        <f>G6*312000*122%</f>
        <v>411091.20000000001</v>
      </c>
      <c r="H412" s="86">
        <v>1</v>
      </c>
      <c r="I412" s="86">
        <f>G412*H412</f>
        <v>411091.20000000001</v>
      </c>
      <c r="J412" s="97">
        <f>SUM(I412)*21%</f>
        <v>86329.152000000002</v>
      </c>
      <c r="K412" s="97">
        <f>SUM(I412)+J412</f>
        <v>497420.35200000001</v>
      </c>
      <c r="L412" s="163"/>
      <c r="M412" s="296"/>
      <c r="N412" s="679">
        <f>I412</f>
        <v>411091.20000000001</v>
      </c>
      <c r="O412" s="680"/>
      <c r="P412" s="680"/>
      <c r="Q412" s="87"/>
      <c r="R412" s="55"/>
      <c r="S412" s="185"/>
    </row>
    <row r="413" spans="1:23" s="67" customFormat="1" ht="15" customHeight="1">
      <c r="A413" s="63"/>
      <c r="B413" s="295"/>
      <c r="C413" s="833">
        <f>SUM(C383:C412)</f>
        <v>0</v>
      </c>
      <c r="D413" s="722"/>
      <c r="E413" s="98"/>
      <c r="F413" s="92"/>
      <c r="G413" s="1052" t="s">
        <v>169</v>
      </c>
      <c r="H413" s="1052"/>
      <c r="I413" s="380">
        <f>SUM(I383:I412)</f>
        <v>179522611.19999999</v>
      </c>
      <c r="J413" s="93">
        <f>SUM(J383:J412)</f>
        <v>37631708.352000006</v>
      </c>
      <c r="K413" s="93">
        <f>SUM(K383:K412)</f>
        <v>217154319.55199999</v>
      </c>
      <c r="L413" s="165"/>
      <c r="M413" s="296"/>
      <c r="N413" s="94">
        <f>SUM(N383:N412)</f>
        <v>36115891.200000003</v>
      </c>
      <c r="O413" s="95">
        <f>SUM(O383:O412)</f>
        <v>143406720</v>
      </c>
      <c r="P413" s="96">
        <f>SUM(P383:P412)</f>
        <v>0</v>
      </c>
      <c r="Q413" s="379">
        <f>SUM(N413:P413)</f>
        <v>179522611.19999999</v>
      </c>
      <c r="R413" s="66"/>
      <c r="S413" s="186"/>
      <c r="W413" s="1"/>
    </row>
    <row r="414" spans="1:23" ht="30" customHeight="1">
      <c r="A414" s="5"/>
      <c r="B414" s="290"/>
      <c r="C414" s="807"/>
      <c r="E414" s="69"/>
      <c r="F414" s="8"/>
      <c r="H414" s="7"/>
      <c r="I414" s="70"/>
      <c r="J414" s="9"/>
      <c r="K414" s="9"/>
      <c r="L414" s="163"/>
      <c r="M414" s="296"/>
      <c r="N414" s="71"/>
      <c r="O414" s="71"/>
      <c r="P414" s="71"/>
      <c r="Q414" s="72"/>
      <c r="R414" s="22"/>
      <c r="S414" s="185"/>
    </row>
    <row r="415" spans="1:23" s="67" customFormat="1" ht="15" customHeight="1">
      <c r="A415" s="63"/>
      <c r="B415" s="293"/>
      <c r="C415" s="811"/>
      <c r="D415" s="755">
        <v>23</v>
      </c>
      <c r="E415" s="45" t="s">
        <v>302</v>
      </c>
      <c r="F415" s="78" t="s">
        <v>18</v>
      </c>
      <c r="G415" s="389" t="s">
        <v>19</v>
      </c>
      <c r="H415" s="80" t="s">
        <v>20</v>
      </c>
      <c r="I415" s="381" t="s">
        <v>9</v>
      </c>
      <c r="J415" s="81" t="s">
        <v>10</v>
      </c>
      <c r="K415" s="81" t="s">
        <v>11</v>
      </c>
      <c r="L415" s="165"/>
      <c r="M415" s="296"/>
      <c r="N415" s="83" t="s">
        <v>12</v>
      </c>
      <c r="O415" s="83" t="s">
        <v>13</v>
      </c>
      <c r="P415" s="83" t="s">
        <v>14</v>
      </c>
      <c r="Q415" s="378" t="s">
        <v>9</v>
      </c>
      <c r="R415" s="82"/>
      <c r="S415" s="186"/>
      <c r="W415" s="1"/>
    </row>
    <row r="416" spans="1:23" ht="15" customHeight="1">
      <c r="A416" s="5"/>
      <c r="B416" s="294"/>
      <c r="C416" s="812"/>
      <c r="D416" s="719" t="s">
        <v>638</v>
      </c>
      <c r="E416" s="88" t="s">
        <v>170</v>
      </c>
      <c r="F416" s="153" t="s">
        <v>171</v>
      </c>
      <c r="G416" s="288">
        <f>122%*G6*1400000</f>
        <v>1844640.0000000002</v>
      </c>
      <c r="H416" s="86">
        <v>8</v>
      </c>
      <c r="I416" s="86">
        <f>G416*H416</f>
        <v>14757120.000000002</v>
      </c>
      <c r="J416" s="97">
        <f>I416*21%</f>
        <v>3098995.2</v>
      </c>
      <c r="K416" s="97">
        <f t="shared" ref="K416:K427" si="26">I416+J416</f>
        <v>17856115.200000003</v>
      </c>
      <c r="L416" s="163"/>
      <c r="M416" s="296"/>
      <c r="N416" s="86">
        <f t="shared" ref="N416:N429" si="27">I416*33%</f>
        <v>4869849.6000000006</v>
      </c>
      <c r="O416" s="86">
        <f t="shared" ref="O416:O429" si="28">I416*34%</f>
        <v>5017420.8000000007</v>
      </c>
      <c r="P416" s="86">
        <f t="shared" ref="P416:P429" si="29">I416-N416-O416</f>
        <v>4869849.6000000015</v>
      </c>
      <c r="Q416" s="87"/>
      <c r="R416" s="55"/>
      <c r="S416" s="185"/>
    </row>
    <row r="417" spans="1:23" ht="15" customHeight="1">
      <c r="A417" s="5"/>
      <c r="B417" s="294"/>
      <c r="C417" s="812"/>
      <c r="D417" s="719" t="s">
        <v>639</v>
      </c>
      <c r="E417" s="887" t="s">
        <v>640</v>
      </c>
      <c r="F417" s="980"/>
      <c r="G417" s="868"/>
      <c r="H417" s="870"/>
      <c r="I417" s="870"/>
      <c r="J417" s="97"/>
      <c r="K417" s="97"/>
      <c r="L417" s="163"/>
      <c r="M417" s="296"/>
      <c r="N417" s="86"/>
      <c r="O417" s="86"/>
      <c r="P417" s="86"/>
      <c r="Q417" s="87"/>
      <c r="R417" s="55"/>
      <c r="S417" s="185"/>
    </row>
    <row r="418" spans="1:23" ht="15" customHeight="1">
      <c r="A418" s="5"/>
      <c r="B418" s="294"/>
      <c r="C418" s="812"/>
      <c r="D418" s="719" t="s">
        <v>642</v>
      </c>
      <c r="E418" s="84" t="s">
        <v>641</v>
      </c>
      <c r="F418" s="154" t="s">
        <v>171</v>
      </c>
      <c r="G418" s="288">
        <f>122%*G6*1850000</f>
        <v>2437560</v>
      </c>
      <c r="H418" s="580">
        <v>8</v>
      </c>
      <c r="I418" s="86">
        <f t="shared" ref="I418:I427" si="30">G418*H418</f>
        <v>19500480</v>
      </c>
      <c r="J418" s="97">
        <v>0</v>
      </c>
      <c r="K418" s="97">
        <f t="shared" si="26"/>
        <v>19500480</v>
      </c>
      <c r="L418" s="163"/>
      <c r="M418" s="296"/>
      <c r="N418" s="86">
        <f t="shared" si="27"/>
        <v>6435158.4000000004</v>
      </c>
      <c r="O418" s="86">
        <f t="shared" si="28"/>
        <v>6630163.2000000002</v>
      </c>
      <c r="P418" s="86">
        <f t="shared" si="29"/>
        <v>6435158.3999999994</v>
      </c>
      <c r="Q418" s="87"/>
      <c r="R418" s="55"/>
      <c r="S418" s="185"/>
    </row>
    <row r="419" spans="1:23" ht="15" customHeight="1">
      <c r="A419" s="5"/>
      <c r="B419" s="294"/>
      <c r="C419" s="812"/>
      <c r="D419" s="719" t="s">
        <v>643</v>
      </c>
      <c r="E419" s="887" t="s">
        <v>644</v>
      </c>
      <c r="F419" s="888"/>
      <c r="G419" s="868"/>
      <c r="H419" s="869"/>
      <c r="I419" s="870"/>
      <c r="J419" s="97"/>
      <c r="K419" s="97"/>
      <c r="L419" s="163"/>
      <c r="M419" s="296"/>
      <c r="N419" s="86"/>
      <c r="O419" s="86"/>
      <c r="P419" s="86"/>
      <c r="Q419" s="87"/>
      <c r="R419" s="55"/>
      <c r="S419" s="185"/>
    </row>
    <row r="420" spans="1:23" ht="15" customHeight="1">
      <c r="A420" s="5"/>
      <c r="B420" s="294"/>
      <c r="C420" s="812"/>
      <c r="D420" s="719" t="s">
        <v>645</v>
      </c>
      <c r="E420" s="887" t="s">
        <v>760</v>
      </c>
      <c r="F420" s="888"/>
      <c r="G420" s="868"/>
      <c r="H420" s="869"/>
      <c r="I420" s="870"/>
      <c r="J420" s="97"/>
      <c r="K420" s="97"/>
      <c r="L420" s="163"/>
      <c r="M420" s="296"/>
      <c r="N420" s="86"/>
      <c r="O420" s="86"/>
      <c r="P420" s="86"/>
      <c r="Q420" s="87"/>
      <c r="R420" s="55"/>
      <c r="S420" s="185"/>
    </row>
    <row r="421" spans="1:23" ht="15" customHeight="1">
      <c r="A421" s="5"/>
      <c r="B421" s="294"/>
      <c r="C421" s="812"/>
      <c r="D421" s="719" t="s">
        <v>646</v>
      </c>
      <c r="E421" s="88" t="s">
        <v>647</v>
      </c>
      <c r="F421" s="153" t="s">
        <v>171</v>
      </c>
      <c r="G421" s="288">
        <f>122%*G6*150000</f>
        <v>197640.00000000003</v>
      </c>
      <c r="H421" s="580">
        <v>8</v>
      </c>
      <c r="I421" s="86">
        <f t="shared" si="30"/>
        <v>1581120.0000000002</v>
      </c>
      <c r="J421" s="97">
        <v>0</v>
      </c>
      <c r="K421" s="97">
        <f t="shared" si="26"/>
        <v>1581120.0000000002</v>
      </c>
      <c r="L421" s="163"/>
      <c r="M421" s="296"/>
      <c r="N421" s="86">
        <f t="shared" si="27"/>
        <v>521769.60000000009</v>
      </c>
      <c r="O421" s="86">
        <f t="shared" si="28"/>
        <v>537580.80000000016</v>
      </c>
      <c r="P421" s="86">
        <f t="shared" si="29"/>
        <v>521769.6</v>
      </c>
      <c r="Q421" s="87"/>
      <c r="R421" s="55"/>
      <c r="S421" s="185"/>
    </row>
    <row r="422" spans="1:23" ht="15" customHeight="1">
      <c r="A422" s="5"/>
      <c r="B422" s="294"/>
      <c r="C422" s="812"/>
      <c r="D422" s="719" t="s">
        <v>648</v>
      </c>
      <c r="E422" s="88" t="s">
        <v>294</v>
      </c>
      <c r="F422" s="153" t="s">
        <v>171</v>
      </c>
      <c r="G422" s="288">
        <f>122%*G6*100000</f>
        <v>131760</v>
      </c>
      <c r="H422" s="580">
        <v>8</v>
      </c>
      <c r="I422" s="86">
        <f t="shared" si="30"/>
        <v>1054080</v>
      </c>
      <c r="J422" s="97">
        <f>I422*21%</f>
        <v>221356.79999999999</v>
      </c>
      <c r="K422" s="97">
        <f t="shared" si="26"/>
        <v>1275436.8</v>
      </c>
      <c r="L422" s="163"/>
      <c r="M422" s="296"/>
      <c r="N422" s="86">
        <f t="shared" si="27"/>
        <v>347846.40000000002</v>
      </c>
      <c r="O422" s="86">
        <f t="shared" si="28"/>
        <v>358387.20000000001</v>
      </c>
      <c r="P422" s="86">
        <f t="shared" si="29"/>
        <v>347846.39999999997</v>
      </c>
      <c r="Q422" s="87"/>
      <c r="R422" s="55"/>
      <c r="S422" s="185"/>
    </row>
    <row r="423" spans="1:23" ht="15" customHeight="1">
      <c r="A423" s="5"/>
      <c r="B423" s="294"/>
      <c r="C423" s="812"/>
      <c r="D423" s="719" t="s">
        <v>649</v>
      </c>
      <c r="E423" s="88" t="s">
        <v>650</v>
      </c>
      <c r="F423" s="153" t="s">
        <v>171</v>
      </c>
      <c r="G423" s="288">
        <f>122%*G6*120000</f>
        <v>158112</v>
      </c>
      <c r="H423" s="580">
        <v>8</v>
      </c>
      <c r="I423" s="86">
        <f t="shared" si="30"/>
        <v>1264896</v>
      </c>
      <c r="J423" s="97">
        <f>I423*21%</f>
        <v>265628.15999999997</v>
      </c>
      <c r="K423" s="97">
        <f t="shared" si="26"/>
        <v>1530524.16</v>
      </c>
      <c r="L423" s="163"/>
      <c r="M423" s="296"/>
      <c r="N423" s="86">
        <f t="shared" si="27"/>
        <v>417415.67999999999</v>
      </c>
      <c r="O423" s="86">
        <f t="shared" si="28"/>
        <v>430064.64000000001</v>
      </c>
      <c r="P423" s="86">
        <f t="shared" si="29"/>
        <v>417415.68000000005</v>
      </c>
      <c r="Q423" s="87"/>
      <c r="R423" s="55"/>
      <c r="S423" s="185"/>
    </row>
    <row r="424" spans="1:23" ht="15" customHeight="1">
      <c r="A424" s="5"/>
      <c r="B424" s="294"/>
      <c r="C424" s="812"/>
      <c r="D424" s="719" t="s">
        <v>651</v>
      </c>
      <c r="E424" s="88" t="s">
        <v>652</v>
      </c>
      <c r="F424" s="153" t="s">
        <v>171</v>
      </c>
      <c r="G424" s="288">
        <f>122%*G6*300000</f>
        <v>395280.00000000006</v>
      </c>
      <c r="H424" s="580">
        <v>8</v>
      </c>
      <c r="I424" s="86">
        <f t="shared" si="30"/>
        <v>3162240.0000000005</v>
      </c>
      <c r="J424" s="97">
        <f>I424*21%</f>
        <v>664070.40000000002</v>
      </c>
      <c r="K424" s="97">
        <f t="shared" si="26"/>
        <v>3826310.4000000004</v>
      </c>
      <c r="L424" s="163"/>
      <c r="M424" s="296"/>
      <c r="N424" s="86">
        <f t="shared" si="27"/>
        <v>1043539.2000000002</v>
      </c>
      <c r="O424" s="86">
        <f t="shared" si="28"/>
        <v>1075161.6000000003</v>
      </c>
      <c r="P424" s="86">
        <f t="shared" si="29"/>
        <v>1043539.2</v>
      </c>
      <c r="Q424" s="87"/>
      <c r="R424" s="55"/>
      <c r="S424" s="185"/>
    </row>
    <row r="425" spans="1:23" ht="15" customHeight="1">
      <c r="B425" s="702"/>
      <c r="C425" s="812"/>
      <c r="D425" s="719" t="s">
        <v>653</v>
      </c>
      <c r="E425" s="134" t="s">
        <v>172</v>
      </c>
      <c r="F425" s="287" t="s">
        <v>21</v>
      </c>
      <c r="G425" s="288">
        <f>122%*G6*8000000</f>
        <v>10540800</v>
      </c>
      <c r="H425" s="580">
        <v>1</v>
      </c>
      <c r="I425" s="580">
        <f t="shared" si="30"/>
        <v>10540800</v>
      </c>
      <c r="J425" s="655">
        <v>0</v>
      </c>
      <c r="K425" s="655">
        <f t="shared" si="26"/>
        <v>10540800</v>
      </c>
      <c r="L425" s="703"/>
      <c r="M425" s="296"/>
      <c r="N425" s="580">
        <f t="shared" si="27"/>
        <v>3478464</v>
      </c>
      <c r="O425" s="580">
        <f t="shared" si="28"/>
        <v>3583872.0000000005</v>
      </c>
      <c r="P425" s="580">
        <f t="shared" si="29"/>
        <v>3478463.9999999995</v>
      </c>
      <c r="Q425" s="216"/>
      <c r="R425" s="586"/>
    </row>
    <row r="426" spans="1:23" ht="15" customHeight="1">
      <c r="B426" s="702"/>
      <c r="C426" s="812"/>
      <c r="D426" s="719" t="s">
        <v>654</v>
      </c>
      <c r="E426" s="981" t="s">
        <v>655</v>
      </c>
      <c r="F426" s="982"/>
      <c r="G426" s="868"/>
      <c r="H426" s="869"/>
      <c r="I426" s="869"/>
      <c r="J426" s="655"/>
      <c r="K426" s="655"/>
      <c r="L426" s="703"/>
      <c r="M426" s="296"/>
      <c r="N426" s="580"/>
      <c r="O426" s="580"/>
      <c r="P426" s="580"/>
      <c r="Q426" s="216"/>
      <c r="R426" s="586"/>
    </row>
    <row r="427" spans="1:23" ht="15" customHeight="1">
      <c r="B427" s="702"/>
      <c r="C427" s="812"/>
      <c r="D427" s="719" t="s">
        <v>656</v>
      </c>
      <c r="E427" s="134" t="s">
        <v>173</v>
      </c>
      <c r="F427" s="287" t="s">
        <v>21</v>
      </c>
      <c r="G427" s="550">
        <f>G428</f>
        <v>2190000000</v>
      </c>
      <c r="H427" s="453">
        <v>0.01</v>
      </c>
      <c r="I427" s="580">
        <f t="shared" si="30"/>
        <v>21900000</v>
      </c>
      <c r="J427" s="655">
        <f>I427*21%</f>
        <v>4599000</v>
      </c>
      <c r="K427" s="655">
        <f t="shared" si="26"/>
        <v>26499000</v>
      </c>
      <c r="L427" s="703"/>
      <c r="M427" s="296"/>
      <c r="N427" s="580">
        <f t="shared" si="27"/>
        <v>7227000</v>
      </c>
      <c r="O427" s="580">
        <f t="shared" si="28"/>
        <v>7446000.0000000009</v>
      </c>
      <c r="P427" s="580">
        <f t="shared" si="29"/>
        <v>7226999.9999999991</v>
      </c>
      <c r="Q427" s="216"/>
      <c r="R427" s="586"/>
    </row>
    <row r="428" spans="1:23" ht="15" customHeight="1">
      <c r="B428" s="702"/>
      <c r="C428" s="812"/>
      <c r="D428" s="722" t="s">
        <v>657</v>
      </c>
      <c r="E428" s="286" t="s">
        <v>764</v>
      </c>
      <c r="F428" s="908" t="s">
        <v>21</v>
      </c>
      <c r="G428" s="975">
        <v>2190000000</v>
      </c>
      <c r="H428" s="993">
        <v>1.2E-2</v>
      </c>
      <c r="I428" s="580">
        <f>G428*H428</f>
        <v>26280000</v>
      </c>
      <c r="J428" s="655">
        <f>I428*21%</f>
        <v>5518800</v>
      </c>
      <c r="K428" s="655">
        <f>I428+J428</f>
        <v>31798800</v>
      </c>
      <c r="L428" s="703"/>
      <c r="M428" s="296"/>
      <c r="N428" s="580">
        <f t="shared" ref="N428" si="31">I428*33%</f>
        <v>8672400</v>
      </c>
      <c r="O428" s="580">
        <f t="shared" ref="O428" si="32">I428*34%</f>
        <v>8935200</v>
      </c>
      <c r="P428" s="580">
        <f t="shared" ref="P428" si="33">I428-N428-O428</f>
        <v>8672400</v>
      </c>
      <c r="Q428" s="216"/>
      <c r="R428" s="586"/>
    </row>
    <row r="429" spans="1:23" ht="15" customHeight="1">
      <c r="B429" s="702"/>
      <c r="C429" s="812"/>
      <c r="D429" s="719" t="s">
        <v>658</v>
      </c>
      <c r="E429" s="286" t="s">
        <v>763</v>
      </c>
      <c r="F429" s="287" t="s">
        <v>21</v>
      </c>
      <c r="G429" s="974">
        <f>G428</f>
        <v>2190000000</v>
      </c>
      <c r="H429" s="993">
        <v>3.0000000000000001E-3</v>
      </c>
      <c r="I429" s="580">
        <f>G429*H429</f>
        <v>6570000</v>
      </c>
      <c r="J429" s="655">
        <f>I429*21%</f>
        <v>1379700</v>
      </c>
      <c r="K429" s="655">
        <f>I429+J429</f>
        <v>7949700</v>
      </c>
      <c r="L429" s="703"/>
      <c r="M429" s="296"/>
      <c r="N429" s="580">
        <f t="shared" si="27"/>
        <v>2168100</v>
      </c>
      <c r="O429" s="580">
        <f t="shared" si="28"/>
        <v>2233800</v>
      </c>
      <c r="P429" s="580">
        <f t="shared" si="29"/>
        <v>2168100</v>
      </c>
      <c r="Q429" s="216"/>
      <c r="R429" s="586"/>
    </row>
    <row r="430" spans="1:23" s="67" customFormat="1" ht="15" customHeight="1">
      <c r="A430" s="63"/>
      <c r="B430" s="295"/>
      <c r="C430" s="833">
        <f>SUM(C416:C429)</f>
        <v>0</v>
      </c>
      <c r="D430" s="719"/>
      <c r="E430" s="98"/>
      <c r="F430" s="92"/>
      <c r="G430" s="1041" t="s">
        <v>174</v>
      </c>
      <c r="H430" s="1041"/>
      <c r="I430" s="380">
        <f>SUM(I416:I429)</f>
        <v>106610736</v>
      </c>
      <c r="J430" s="93">
        <f>SUM(J416:J429)</f>
        <v>15747550.560000001</v>
      </c>
      <c r="K430" s="93">
        <f>SUM(K416:K429)</f>
        <v>122358286.56</v>
      </c>
      <c r="L430" s="165"/>
      <c r="M430" s="296"/>
      <c r="N430" s="94">
        <f>SUM(N416:N429)</f>
        <v>35181542.879999995</v>
      </c>
      <c r="O430" s="95">
        <f>SUM(O416:O429)</f>
        <v>36247650.240000002</v>
      </c>
      <c r="P430" s="96">
        <f>SUM(P416:P429)</f>
        <v>35181542.879999995</v>
      </c>
      <c r="Q430" s="379">
        <f>SUM(N430:P430)</f>
        <v>106610736</v>
      </c>
      <c r="R430" s="66"/>
      <c r="S430" s="186"/>
      <c r="W430" s="1"/>
    </row>
    <row r="431" spans="1:23" ht="30" customHeight="1">
      <c r="A431" s="5"/>
      <c r="B431" s="290"/>
      <c r="C431" s="812"/>
      <c r="D431" s="719"/>
      <c r="E431" s="69"/>
      <c r="F431" s="8"/>
      <c r="G431" s="70"/>
      <c r="I431" s="70"/>
      <c r="J431" s="9"/>
      <c r="K431" s="9"/>
      <c r="L431" s="163"/>
      <c r="M431" s="296"/>
      <c r="N431" s="71"/>
      <c r="O431" s="71"/>
      <c r="P431" s="71"/>
      <c r="Q431" s="72"/>
      <c r="R431" s="22"/>
      <c r="S431" s="185"/>
    </row>
    <row r="432" spans="1:23" s="67" customFormat="1" ht="15" customHeight="1">
      <c r="A432" s="63"/>
      <c r="B432" s="293"/>
      <c r="C432" s="812"/>
      <c r="D432" s="755">
        <v>24</v>
      </c>
      <c r="E432" s="277" t="s">
        <v>175</v>
      </c>
      <c r="F432" s="269" t="s">
        <v>18</v>
      </c>
      <c r="G432" s="390" t="s">
        <v>19</v>
      </c>
      <c r="H432" s="366" t="s">
        <v>20</v>
      </c>
      <c r="I432" s="382" t="s">
        <v>9</v>
      </c>
      <c r="J432" s="270" t="s">
        <v>10</v>
      </c>
      <c r="K432" s="270" t="s">
        <v>11</v>
      </c>
      <c r="L432" s="165"/>
      <c r="M432" s="296"/>
      <c r="N432" s="83" t="s">
        <v>12</v>
      </c>
      <c r="O432" s="83" t="s">
        <v>13</v>
      </c>
      <c r="P432" s="83" t="s">
        <v>14</v>
      </c>
      <c r="Q432" s="378" t="s">
        <v>9</v>
      </c>
      <c r="R432" s="82"/>
      <c r="S432" s="186"/>
      <c r="W432" s="1"/>
    </row>
    <row r="433" spans="1:23" s="121" customFormat="1" ht="15" customHeight="1">
      <c r="B433" s="294"/>
      <c r="C433" s="812"/>
      <c r="D433" s="727" t="s">
        <v>660</v>
      </c>
      <c r="E433" s="271" t="s">
        <v>659</v>
      </c>
      <c r="F433" s="704"/>
      <c r="G433" s="617"/>
      <c r="H433" s="352"/>
      <c r="I433" s="704"/>
      <c r="J433" s="272"/>
      <c r="K433" s="272"/>
      <c r="L433" s="163"/>
      <c r="M433" s="296"/>
      <c r="N433" s="127"/>
      <c r="O433" s="128"/>
      <c r="P433" s="129"/>
      <c r="Q433" s="148"/>
      <c r="R433" s="126"/>
      <c r="S433" s="188"/>
    </row>
    <row r="434" spans="1:23" ht="15" customHeight="1">
      <c r="A434" s="5"/>
      <c r="B434" s="294"/>
      <c r="C434" s="812"/>
      <c r="D434" s="719"/>
      <c r="E434" s="705" t="s">
        <v>755</v>
      </c>
      <c r="F434" s="401" t="s">
        <v>21</v>
      </c>
      <c r="G434" s="288">
        <f>30000000*G6</f>
        <v>32400000.000000004</v>
      </c>
      <c r="H434" s="580">
        <v>1</v>
      </c>
      <c r="I434" s="628">
        <f>G434*H434:H434</f>
        <v>32400000.000000004</v>
      </c>
      <c r="J434" s="688">
        <f t="shared" ref="J434:J439" si="34">I434*21%</f>
        <v>6804000.0000000009</v>
      </c>
      <c r="K434" s="688">
        <f t="shared" ref="K434:K439" si="35">I434+J434</f>
        <v>39204000.000000007</v>
      </c>
      <c r="L434" s="163"/>
      <c r="M434" s="296"/>
      <c r="N434" s="86">
        <f>I434*0.5</f>
        <v>16200000.000000002</v>
      </c>
      <c r="O434" s="86">
        <f>I434*0.5</f>
        <v>16200000.000000002</v>
      </c>
      <c r="P434" s="86"/>
      <c r="Q434" s="87"/>
      <c r="R434" s="55"/>
      <c r="S434" s="185"/>
    </row>
    <row r="435" spans="1:23" s="5" customFormat="1" ht="15" customHeight="1">
      <c r="B435" s="294"/>
      <c r="C435" s="812"/>
      <c r="D435" s="719" t="s">
        <v>661</v>
      </c>
      <c r="E435" s="155" t="s">
        <v>662</v>
      </c>
      <c r="F435" s="89" t="s">
        <v>21</v>
      </c>
      <c r="G435" s="288">
        <f>G6*122%*500000</f>
        <v>658800</v>
      </c>
      <c r="H435" s="580">
        <v>1</v>
      </c>
      <c r="I435" s="86">
        <f>G435*H435</f>
        <v>658800</v>
      </c>
      <c r="J435" s="97">
        <f t="shared" si="34"/>
        <v>138348</v>
      </c>
      <c r="K435" s="97">
        <f t="shared" si="35"/>
        <v>797148</v>
      </c>
      <c r="L435" s="163"/>
      <c r="M435" s="296"/>
      <c r="N435" s="86">
        <f>I435*10%</f>
        <v>65880</v>
      </c>
      <c r="O435" s="86">
        <f>I435*90%</f>
        <v>592920</v>
      </c>
      <c r="P435" s="86"/>
      <c r="Q435" s="87"/>
      <c r="R435" s="55"/>
      <c r="S435" s="185"/>
    </row>
    <row r="436" spans="1:23" s="5" customFormat="1" ht="15" customHeight="1">
      <c r="B436" s="294"/>
      <c r="C436" s="812"/>
      <c r="D436" s="719" t="s">
        <v>664</v>
      </c>
      <c r="E436" s="992" t="s">
        <v>663</v>
      </c>
      <c r="F436" s="878" t="s">
        <v>21</v>
      </c>
      <c r="G436" s="868"/>
      <c r="H436" s="869">
        <v>1</v>
      </c>
      <c r="I436" s="870">
        <f>G436*H436</f>
        <v>0</v>
      </c>
      <c r="J436" s="97">
        <f t="shared" si="34"/>
        <v>0</v>
      </c>
      <c r="K436" s="97">
        <f t="shared" si="35"/>
        <v>0</v>
      </c>
      <c r="L436" s="163"/>
      <c r="M436" s="296"/>
      <c r="N436" s="86">
        <f>I436*10%</f>
        <v>0</v>
      </c>
      <c r="O436" s="86">
        <f>I436*90%</f>
        <v>0</v>
      </c>
      <c r="P436" s="86"/>
      <c r="Q436" s="87"/>
      <c r="R436" s="55"/>
      <c r="S436" s="185"/>
    </row>
    <row r="437" spans="1:23" s="5" customFormat="1" ht="15" customHeight="1">
      <c r="B437" s="294"/>
      <c r="C437" s="812"/>
      <c r="D437" s="719" t="s">
        <v>665</v>
      </c>
      <c r="E437" s="992" t="s">
        <v>666</v>
      </c>
      <c r="F437" s="878" t="s">
        <v>21</v>
      </c>
      <c r="G437" s="868"/>
      <c r="H437" s="869">
        <v>1</v>
      </c>
      <c r="I437" s="870">
        <f>G437*H437</f>
        <v>0</v>
      </c>
      <c r="J437" s="97">
        <f t="shared" si="34"/>
        <v>0</v>
      </c>
      <c r="K437" s="97">
        <f t="shared" si="35"/>
        <v>0</v>
      </c>
      <c r="L437" s="163"/>
      <c r="M437" s="296"/>
      <c r="N437" s="86">
        <f>I437*10%</f>
        <v>0</v>
      </c>
      <c r="O437" s="86">
        <f>I437*90%</f>
        <v>0</v>
      </c>
      <c r="P437" s="86"/>
      <c r="Q437" s="87"/>
      <c r="R437" s="55"/>
      <c r="S437" s="185"/>
    </row>
    <row r="438" spans="1:23" s="5" customFormat="1" ht="15" customHeight="1">
      <c r="B438" s="294"/>
      <c r="C438" s="812"/>
      <c r="D438" s="719" t="s">
        <v>667</v>
      </c>
      <c r="E438" s="992" t="s">
        <v>668</v>
      </c>
      <c r="F438" s="878" t="s">
        <v>21</v>
      </c>
      <c r="G438" s="868"/>
      <c r="H438" s="869">
        <v>1</v>
      </c>
      <c r="I438" s="870">
        <f>G438*H438</f>
        <v>0</v>
      </c>
      <c r="J438" s="97">
        <f t="shared" si="34"/>
        <v>0</v>
      </c>
      <c r="K438" s="97">
        <f t="shared" si="35"/>
        <v>0</v>
      </c>
      <c r="L438" s="163"/>
      <c r="M438" s="296"/>
      <c r="N438" s="86">
        <f>I438*10%</f>
        <v>0</v>
      </c>
      <c r="O438" s="86">
        <f>I438*90%</f>
        <v>0</v>
      </c>
      <c r="P438" s="86"/>
      <c r="Q438" s="87"/>
      <c r="R438" s="55"/>
      <c r="S438" s="185"/>
    </row>
    <row r="439" spans="1:23" s="5" customFormat="1" ht="15" customHeight="1">
      <c r="B439" s="294"/>
      <c r="C439" s="812"/>
      <c r="D439" s="719"/>
      <c r="E439" s="155" t="s">
        <v>122</v>
      </c>
      <c r="F439" s="89" t="s">
        <v>21</v>
      </c>
      <c r="G439" s="580"/>
      <c r="H439" s="706">
        <v>1</v>
      </c>
      <c r="I439" s="86">
        <f>G439*H439</f>
        <v>0</v>
      </c>
      <c r="J439" s="97">
        <f t="shared" si="34"/>
        <v>0</v>
      </c>
      <c r="K439" s="688">
        <f t="shared" si="35"/>
        <v>0</v>
      </c>
      <c r="L439" s="163"/>
      <c r="M439" s="296"/>
      <c r="N439" s="86">
        <f>I439*10%</f>
        <v>0</v>
      </c>
      <c r="O439" s="86">
        <f>I439*90%</f>
        <v>0</v>
      </c>
      <c r="P439" s="86"/>
      <c r="Q439" s="87"/>
      <c r="R439" s="55"/>
      <c r="S439" s="185"/>
    </row>
    <row r="440" spans="1:23" s="67" customFormat="1" ht="15" customHeight="1">
      <c r="A440" s="63"/>
      <c r="B440" s="295"/>
      <c r="C440" s="833">
        <f>SUM(C433:C439)</f>
        <v>0</v>
      </c>
      <c r="D440" s="719"/>
      <c r="E440" s="98"/>
      <c r="F440" s="92"/>
      <c r="G440" s="1050" t="s">
        <v>176</v>
      </c>
      <c r="H440" s="1050"/>
      <c r="I440" s="380">
        <f>SUM(I433:I439)</f>
        <v>33058800.000000004</v>
      </c>
      <c r="J440" s="93">
        <f>SUM(J433:J439)</f>
        <v>6942348.0000000009</v>
      </c>
      <c r="K440" s="93">
        <f>SUM(K433:K439)</f>
        <v>40001148.000000007</v>
      </c>
      <c r="L440" s="165"/>
      <c r="M440" s="296"/>
      <c r="N440" s="94">
        <f>SUM(N433:N439)</f>
        <v>16265880.000000002</v>
      </c>
      <c r="O440" s="95">
        <f>SUM(O433:O439)</f>
        <v>16792920</v>
      </c>
      <c r="P440" s="96">
        <f>SUM(P433:P435)</f>
        <v>0</v>
      </c>
      <c r="Q440" s="379">
        <f>SUM(N440:P440)</f>
        <v>33058800</v>
      </c>
      <c r="R440" s="66"/>
      <c r="S440" s="186"/>
      <c r="W440" s="1"/>
    </row>
    <row r="441" spans="1:23" ht="30" customHeight="1">
      <c r="A441" s="5"/>
      <c r="B441" s="290"/>
      <c r="C441" s="807"/>
      <c r="E441" s="69"/>
      <c r="F441" s="8"/>
      <c r="G441" s="70"/>
      <c r="I441" s="70"/>
      <c r="J441" s="9"/>
      <c r="K441" s="9"/>
      <c r="L441" s="163"/>
      <c r="M441" s="296"/>
      <c r="N441" s="71"/>
      <c r="O441" s="71"/>
      <c r="P441" s="71"/>
      <c r="Q441" s="72"/>
      <c r="R441" s="22"/>
      <c r="S441" s="185"/>
    </row>
    <row r="442" spans="1:23" s="67" customFormat="1" ht="15" customHeight="1">
      <c r="A442" s="63"/>
      <c r="B442" s="293"/>
      <c r="C442" s="811"/>
      <c r="D442" s="755">
        <v>25</v>
      </c>
      <c r="E442" s="45" t="s">
        <v>669</v>
      </c>
      <c r="F442" s="78" t="s">
        <v>18</v>
      </c>
      <c r="G442" s="391" t="s">
        <v>19</v>
      </c>
      <c r="H442" s="364" t="s">
        <v>20</v>
      </c>
      <c r="I442" s="381" t="s">
        <v>9</v>
      </c>
      <c r="J442" s="81" t="s">
        <v>10</v>
      </c>
      <c r="K442" s="81" t="s">
        <v>11</v>
      </c>
      <c r="L442" s="165"/>
      <c r="M442" s="296"/>
      <c r="N442" s="83" t="s">
        <v>12</v>
      </c>
      <c r="O442" s="83" t="s">
        <v>13</v>
      </c>
      <c r="P442" s="83" t="s">
        <v>14</v>
      </c>
      <c r="Q442" s="378" t="s">
        <v>9</v>
      </c>
      <c r="R442" s="82"/>
      <c r="S442" s="186"/>
      <c r="W442" s="1"/>
    </row>
    <row r="443" spans="1:23" ht="15" customHeight="1">
      <c r="A443" s="5"/>
      <c r="B443" s="294"/>
      <c r="C443" s="812"/>
      <c r="D443" s="727" t="s">
        <v>670</v>
      </c>
      <c r="E443" s="88" t="s">
        <v>544</v>
      </c>
      <c r="F443" s="89" t="s">
        <v>33</v>
      </c>
      <c r="G443" s="288">
        <f>G6*600000</f>
        <v>648000</v>
      </c>
      <c r="H443" s="580">
        <f>G4</f>
        <v>6</v>
      </c>
      <c r="I443" s="86">
        <f>H443*G443</f>
        <v>3888000</v>
      </c>
      <c r="J443" s="97">
        <v>0</v>
      </c>
      <c r="K443" s="97">
        <f t="shared" ref="K443:K448" si="36">I443</f>
        <v>3888000</v>
      </c>
      <c r="L443" s="163"/>
      <c r="M443" s="296"/>
      <c r="N443" s="86"/>
      <c r="O443" s="86">
        <f t="shared" ref="O443:O448" si="37">I443</f>
        <v>3888000</v>
      </c>
      <c r="P443" s="86"/>
      <c r="Q443" s="87"/>
      <c r="R443" s="55"/>
      <c r="S443" s="185"/>
    </row>
    <row r="444" spans="1:23" ht="15" customHeight="1">
      <c r="A444" s="5"/>
      <c r="B444" s="294"/>
      <c r="C444" s="812"/>
      <c r="D444" s="719" t="s">
        <v>671</v>
      </c>
      <c r="E444" s="88" t="s">
        <v>672</v>
      </c>
      <c r="F444" s="89" t="s">
        <v>271</v>
      </c>
      <c r="G444" s="288">
        <f>G6*2*70000</f>
        <v>151200</v>
      </c>
      <c r="H444" s="580">
        <v>30</v>
      </c>
      <c r="I444" s="86">
        <f>G444*H444</f>
        <v>4536000</v>
      </c>
      <c r="J444" s="97">
        <v>0</v>
      </c>
      <c r="K444" s="97">
        <f t="shared" si="36"/>
        <v>4536000</v>
      </c>
      <c r="L444" s="163"/>
      <c r="M444" s="296"/>
      <c r="N444" s="86"/>
      <c r="O444" s="86">
        <f t="shared" si="37"/>
        <v>4536000</v>
      </c>
      <c r="P444" s="86"/>
      <c r="Q444" s="87"/>
      <c r="R444" s="55"/>
      <c r="S444" s="185"/>
    </row>
    <row r="445" spans="1:23" ht="15" customHeight="1">
      <c r="A445" s="5"/>
      <c r="B445" s="294"/>
      <c r="C445" s="812"/>
      <c r="D445" s="719"/>
      <c r="E445" s="134" t="s">
        <v>673</v>
      </c>
      <c r="F445" s="89" t="s">
        <v>271</v>
      </c>
      <c r="G445" s="288">
        <f>2*110000*G6</f>
        <v>237600.00000000003</v>
      </c>
      <c r="H445" s="580">
        <v>15</v>
      </c>
      <c r="I445" s="86">
        <f>G445*H445</f>
        <v>3564000.0000000005</v>
      </c>
      <c r="J445" s="97">
        <v>0</v>
      </c>
      <c r="K445" s="97">
        <f t="shared" si="36"/>
        <v>3564000.0000000005</v>
      </c>
      <c r="L445" s="163"/>
      <c r="M445" s="296"/>
      <c r="N445" s="86"/>
      <c r="O445" s="86">
        <f t="shared" si="37"/>
        <v>3564000.0000000005</v>
      </c>
      <c r="P445" s="86"/>
      <c r="Q445" s="87"/>
      <c r="R445" s="55"/>
      <c r="S445" s="185"/>
    </row>
    <row r="446" spans="1:23" ht="15" customHeight="1">
      <c r="A446" s="5"/>
      <c r="B446" s="294"/>
      <c r="C446" s="812"/>
      <c r="D446" s="719" t="s">
        <v>674</v>
      </c>
      <c r="E446" s="860" t="s">
        <v>675</v>
      </c>
      <c r="F446" s="878" t="s">
        <v>271</v>
      </c>
      <c r="G446" s="868"/>
      <c r="H446" s="869"/>
      <c r="I446" s="86">
        <f>G446*H446</f>
        <v>0</v>
      </c>
      <c r="J446" s="97">
        <v>0</v>
      </c>
      <c r="K446" s="97">
        <f t="shared" si="36"/>
        <v>0</v>
      </c>
      <c r="L446" s="163"/>
      <c r="M446" s="296"/>
      <c r="N446" s="86"/>
      <c r="O446" s="86">
        <f t="shared" si="37"/>
        <v>0</v>
      </c>
      <c r="P446" s="86"/>
      <c r="Q446" s="87"/>
      <c r="R446" s="55"/>
      <c r="S446" s="185"/>
    </row>
    <row r="447" spans="1:23" ht="15" customHeight="1">
      <c r="A447" s="5"/>
      <c r="B447" s="294"/>
      <c r="C447" s="812"/>
      <c r="D447" s="719" t="s">
        <v>676</v>
      </c>
      <c r="E447" s="864" t="s">
        <v>677</v>
      </c>
      <c r="F447" s="878" t="s">
        <v>271</v>
      </c>
      <c r="G447" s="868"/>
      <c r="H447" s="869"/>
      <c r="I447" s="86">
        <f>G447*H447</f>
        <v>0</v>
      </c>
      <c r="J447" s="97">
        <v>0</v>
      </c>
      <c r="K447" s="97">
        <f t="shared" si="36"/>
        <v>0</v>
      </c>
      <c r="L447" s="163"/>
      <c r="M447" s="296"/>
      <c r="N447" s="86"/>
      <c r="O447" s="86">
        <f t="shared" si="37"/>
        <v>0</v>
      </c>
      <c r="P447" s="86"/>
      <c r="Q447" s="87"/>
      <c r="R447" s="55"/>
      <c r="S447" s="185"/>
    </row>
    <row r="448" spans="1:23" ht="15" customHeight="1">
      <c r="A448" s="5"/>
      <c r="B448" s="294"/>
      <c r="C448" s="812"/>
      <c r="D448" s="719" t="s">
        <v>678</v>
      </c>
      <c r="E448" s="442" t="s">
        <v>545</v>
      </c>
      <c r="F448" s="386" t="s">
        <v>21</v>
      </c>
      <c r="G448" s="387">
        <f>G6*400000</f>
        <v>432000</v>
      </c>
      <c r="H448" s="669">
        <v>5</v>
      </c>
      <c r="I448" s="86">
        <f>G448*H448</f>
        <v>2160000</v>
      </c>
      <c r="J448" s="688">
        <v>0</v>
      </c>
      <c r="K448" s="97">
        <f t="shared" si="36"/>
        <v>2160000</v>
      </c>
      <c r="L448" s="163"/>
      <c r="M448" s="296"/>
      <c r="N448" s="114"/>
      <c r="O448" s="86">
        <f t="shared" si="37"/>
        <v>2160000</v>
      </c>
      <c r="P448" s="112"/>
      <c r="Q448" s="87"/>
      <c r="R448" s="55"/>
      <c r="S448" s="185"/>
    </row>
    <row r="449" spans="1:23" s="67" customFormat="1" ht="15" customHeight="1">
      <c r="A449" s="63"/>
      <c r="B449" s="295"/>
      <c r="C449" s="833">
        <f>SUM(C440:C448)</f>
        <v>0</v>
      </c>
      <c r="D449" s="719"/>
      <c r="E449" s="98"/>
      <c r="F449" s="92"/>
      <c r="G449" s="1052" t="s">
        <v>177</v>
      </c>
      <c r="H449" s="1052"/>
      <c r="I449" s="380">
        <f>SUM(I443:I448)</f>
        <v>14148000</v>
      </c>
      <c r="J449" s="93">
        <f>SUM(J443:J448)</f>
        <v>0</v>
      </c>
      <c r="K449" s="93">
        <f>SUM(K443:K448)</f>
        <v>14148000</v>
      </c>
      <c r="L449" s="165"/>
      <c r="M449" s="296"/>
      <c r="N449" s="94">
        <f>SUM(N443:N445)</f>
        <v>0</v>
      </c>
      <c r="O449" s="95">
        <f>SUM(O443:O448)</f>
        <v>14148000</v>
      </c>
      <c r="P449" s="96">
        <f>SUM(P443:P445)</f>
        <v>0</v>
      </c>
      <c r="Q449" s="379">
        <f>SUM(N449:P449)</f>
        <v>14148000</v>
      </c>
      <c r="R449" s="66"/>
      <c r="S449" s="186"/>
      <c r="W449" s="1"/>
    </row>
    <row r="450" spans="1:23" ht="15.75" customHeight="1" thickBot="1">
      <c r="A450" s="5"/>
      <c r="B450" s="298"/>
      <c r="C450" s="834"/>
      <c r="D450" s="728"/>
      <c r="E450" s="156"/>
      <c r="F450" s="157"/>
      <c r="G450" s="353"/>
      <c r="H450" s="156"/>
      <c r="I450" s="156"/>
      <c r="J450" s="158"/>
      <c r="K450" s="158"/>
      <c r="L450" s="166"/>
      <c r="M450" s="296"/>
      <c r="N450" s="707"/>
      <c r="O450" s="707"/>
      <c r="P450" s="707"/>
      <c r="Q450" s="707"/>
      <c r="R450" s="708"/>
      <c r="S450" s="185"/>
    </row>
    <row r="451" spans="1:23" ht="23.25" customHeight="1" thickTop="1">
      <c r="A451" s="5"/>
      <c r="B451" s="220"/>
      <c r="C451" s="812">
        <f>C380+C374+C191+C95+C44+C32+C25</f>
        <v>129.75</v>
      </c>
      <c r="D451" s="719"/>
      <c r="E451" s="7"/>
      <c r="F451" s="8"/>
      <c r="H451" s="7"/>
      <c r="I451" s="1"/>
      <c r="J451" s="1"/>
      <c r="K451" s="1"/>
      <c r="L451" s="161"/>
      <c r="M451" s="15"/>
      <c r="N451" s="5"/>
      <c r="O451" s="5"/>
      <c r="P451" s="5"/>
      <c r="Q451" s="5"/>
      <c r="R451" s="5"/>
      <c r="S451" s="185"/>
    </row>
    <row r="452" spans="1:23" ht="13.5" thickBot="1">
      <c r="A452" s="5"/>
      <c r="B452" s="220"/>
      <c r="C452" s="812"/>
      <c r="D452" s="719"/>
      <c r="E452" s="7"/>
      <c r="F452" s="8"/>
      <c r="H452" s="1"/>
      <c r="I452" s="1013" t="s">
        <v>770</v>
      </c>
      <c r="J452" s="1014" t="s">
        <v>10</v>
      </c>
      <c r="K452" s="1015" t="s">
        <v>771</v>
      </c>
      <c r="L452" s="161"/>
      <c r="M452" s="1011"/>
      <c r="N452" s="5"/>
      <c r="O452" s="5"/>
      <c r="P452" s="5"/>
      <c r="Q452" s="5"/>
      <c r="R452" s="5"/>
      <c r="S452" s="185"/>
    </row>
    <row r="453" spans="1:23" ht="18.75" thickBot="1">
      <c r="G453" s="367" t="s">
        <v>772</v>
      </c>
      <c r="H453" s="800"/>
      <c r="I453" s="801">
        <f>'TOP SHEET'!H59</f>
        <v>2183165127.5050459</v>
      </c>
      <c r="J453" s="369">
        <f>'TOP SHEET'!I59</f>
        <v>240578007.9948</v>
      </c>
      <c r="K453" s="801">
        <f>'TOP SHEET'!J59</f>
        <v>2423743135.499846</v>
      </c>
      <c r="Q453" s="135"/>
    </row>
    <row r="454" spans="1:23" hidden="1"/>
    <row r="455" spans="1:23" hidden="1">
      <c r="H455" s="2">
        <f>SUM(H442:H448)</f>
        <v>56</v>
      </c>
      <c r="K455" s="709">
        <f>+K453*1.2%</f>
        <v>29084917.625998151</v>
      </c>
    </row>
    <row r="456" spans="1:23" hidden="1">
      <c r="K456" s="709">
        <f>+K453*1%</f>
        <v>24237431.354998462</v>
      </c>
    </row>
    <row r="457" spans="1:23" hidden="1">
      <c r="K457" s="4">
        <f>+I453*0.75/100</f>
        <v>16373738.456287844</v>
      </c>
    </row>
    <row r="458" spans="1:23" hidden="1"/>
    <row r="461" spans="1:23">
      <c r="H461" s="452" t="s">
        <v>349</v>
      </c>
      <c r="I461" s="447"/>
      <c r="J461" s="448"/>
    </row>
    <row r="462" spans="1:23">
      <c r="H462" s="394"/>
      <c r="I462" s="447"/>
      <c r="J462" s="448"/>
    </row>
    <row r="463" spans="1:23">
      <c r="G463" s="392"/>
      <c r="H463" s="394" t="s">
        <v>305</v>
      </c>
      <c r="I463" s="371"/>
      <c r="J463" s="445">
        <f>I449+I440+I430+I413+I380+I374+I316+I282+I252+I241+I224+I210+I191+I168+I153+I142+I127+I108+I95+I44+I329</f>
        <v>1733134249.5050459</v>
      </c>
      <c r="K463" s="1"/>
    </row>
    <row r="464" spans="1:23">
      <c r="G464" s="392"/>
      <c r="H464" s="394" t="s">
        <v>352</v>
      </c>
      <c r="I464" s="371"/>
      <c r="J464" s="445">
        <f>J463-I210</f>
        <v>1684263549.4450459</v>
      </c>
      <c r="K464" s="1"/>
    </row>
    <row r="465" spans="1:17">
      <c r="G465" s="392"/>
      <c r="H465" s="394" t="s">
        <v>766</v>
      </c>
      <c r="I465" s="371"/>
      <c r="J465" s="445">
        <v>2182496356.5050459</v>
      </c>
      <c r="K465" s="1"/>
    </row>
    <row r="466" spans="1:17">
      <c r="G466" s="392"/>
      <c r="H466" s="394"/>
      <c r="I466" s="371"/>
      <c r="J466" s="446"/>
      <c r="K466" s="1"/>
    </row>
    <row r="467" spans="1:17">
      <c r="G467" s="393"/>
      <c r="H467" s="449" t="s">
        <v>298</v>
      </c>
      <c r="I467" s="372">
        <v>0.05</v>
      </c>
      <c r="J467" s="446">
        <f>I467*J463</f>
        <v>86656712.475252301</v>
      </c>
      <c r="K467" s="1"/>
    </row>
    <row r="468" spans="1:17">
      <c r="G468" s="393"/>
      <c r="H468" s="449" t="s">
        <v>27</v>
      </c>
      <c r="I468" s="372">
        <v>0.1</v>
      </c>
      <c r="J468" s="446">
        <f>I468*J463</f>
        <v>173313424.9505046</v>
      </c>
      <c r="K468" s="1"/>
      <c r="P468" s="135"/>
    </row>
    <row r="469" spans="1:17">
      <c r="G469" s="393"/>
      <c r="H469" s="449" t="s">
        <v>299</v>
      </c>
      <c r="I469" s="372">
        <v>0.08</v>
      </c>
      <c r="J469" s="446">
        <f>I469*J463</f>
        <v>138650739.96040368</v>
      </c>
      <c r="K469" s="1"/>
      <c r="P469" s="135"/>
    </row>
    <row r="470" spans="1:17">
      <c r="G470" s="393"/>
      <c r="H470" s="449"/>
      <c r="I470" s="372"/>
      <c r="J470" s="446"/>
      <c r="K470" s="1"/>
      <c r="P470" s="135"/>
    </row>
    <row r="472" spans="1:17" ht="13.5" thickBot="1"/>
    <row r="473" spans="1:17" customFormat="1" ht="15.75" customHeight="1">
      <c r="A473" s="1"/>
      <c r="B473" s="299"/>
      <c r="C473" s="831"/>
      <c r="D473" s="901">
        <v>26</v>
      </c>
      <c r="E473" s="889" t="s">
        <v>681</v>
      </c>
      <c r="F473" s="269" t="s">
        <v>18</v>
      </c>
      <c r="G473" s="890" t="s">
        <v>19</v>
      </c>
      <c r="H473" s="366" t="s">
        <v>20</v>
      </c>
      <c r="I473" s="382" t="s">
        <v>9</v>
      </c>
      <c r="J473" s="270" t="s">
        <v>10</v>
      </c>
      <c r="K473" s="270" t="s">
        <v>11</v>
      </c>
      <c r="L473" s="758"/>
      <c r="M473" s="759"/>
      <c r="N473" s="83" t="s">
        <v>12</v>
      </c>
      <c r="O473" s="83" t="s">
        <v>13</v>
      </c>
      <c r="P473" s="83" t="s">
        <v>14</v>
      </c>
      <c r="Q473" s="378" t="s">
        <v>9</v>
      </c>
    </row>
    <row r="474" spans="1:17" customFormat="1" ht="15.75" customHeight="1">
      <c r="A474" s="1"/>
      <c r="B474" s="299"/>
      <c r="C474" s="831"/>
      <c r="D474" s="902" t="s">
        <v>682</v>
      </c>
      <c r="E474" s="892" t="s">
        <v>683</v>
      </c>
      <c r="F474" s="893"/>
      <c r="G474" s="894">
        <f>G6*2000000</f>
        <v>2160000</v>
      </c>
      <c r="H474" s="895">
        <v>1</v>
      </c>
      <c r="I474" s="602">
        <f t="shared" ref="I474" si="38">G474*H474</f>
        <v>2160000</v>
      </c>
      <c r="J474" s="896">
        <f t="shared" ref="J474" si="39">I474*0.21</f>
        <v>453600</v>
      </c>
      <c r="K474" s="897">
        <f t="shared" ref="K474" si="40">I474+J474</f>
        <v>2613600</v>
      </c>
      <c r="L474" s="168"/>
      <c r="M474" s="760"/>
      <c r="N474" s="86"/>
      <c r="O474" s="86"/>
      <c r="P474" s="86">
        <f>I474</f>
        <v>2160000</v>
      </c>
      <c r="Q474" s="87"/>
    </row>
    <row r="475" spans="1:17" customFormat="1" ht="15.75" customHeight="1">
      <c r="A475" s="1"/>
      <c r="B475" s="299"/>
      <c r="C475" s="831"/>
      <c r="D475" s="902" t="s">
        <v>684</v>
      </c>
      <c r="E475" s="892" t="s">
        <v>748</v>
      </c>
      <c r="F475" s="893"/>
      <c r="G475" s="894">
        <f>G6*10000</f>
        <v>10800</v>
      </c>
      <c r="H475" s="895">
        <v>10</v>
      </c>
      <c r="I475" s="602">
        <f t="shared" ref="I475:I479" si="41">G475*H475</f>
        <v>108000</v>
      </c>
      <c r="J475" s="896">
        <f t="shared" ref="J475:J477" si="42">I475*0.21</f>
        <v>22680</v>
      </c>
      <c r="K475" s="897">
        <f t="shared" ref="K475:K479" si="43">I475+J475</f>
        <v>130680</v>
      </c>
      <c r="L475" s="168"/>
      <c r="M475" s="760"/>
      <c r="N475" s="86"/>
      <c r="O475" s="86"/>
      <c r="P475" s="86">
        <f>I475</f>
        <v>108000</v>
      </c>
      <c r="Q475" s="87"/>
    </row>
    <row r="476" spans="1:17" customFormat="1" ht="15.75" customHeight="1">
      <c r="A476" s="1"/>
      <c r="B476" s="299"/>
      <c r="C476" s="831"/>
      <c r="D476" s="902" t="s">
        <v>685</v>
      </c>
      <c r="E476" s="892" t="s">
        <v>686</v>
      </c>
      <c r="F476" s="893"/>
      <c r="G476" s="894">
        <f>300000*G5</f>
        <v>3000000</v>
      </c>
      <c r="H476" s="895">
        <v>1</v>
      </c>
      <c r="I476" s="602">
        <f t="shared" si="41"/>
        <v>3000000</v>
      </c>
      <c r="J476" s="896">
        <f t="shared" si="42"/>
        <v>630000</v>
      </c>
      <c r="K476" s="897">
        <f t="shared" si="43"/>
        <v>3630000</v>
      </c>
      <c r="L476" s="168"/>
      <c r="M476" s="760"/>
      <c r="N476" s="86"/>
      <c r="O476" s="86"/>
      <c r="P476" s="86">
        <f t="shared" ref="P476:P479" si="44">I476</f>
        <v>3000000</v>
      </c>
      <c r="Q476" s="87"/>
    </row>
    <row r="477" spans="1:17" customFormat="1" ht="15.75" customHeight="1">
      <c r="A477" s="1"/>
      <c r="B477" s="299"/>
      <c r="C477" s="831"/>
      <c r="D477" s="902" t="s">
        <v>687</v>
      </c>
      <c r="E477" s="892" t="s">
        <v>688</v>
      </c>
      <c r="F477" s="893"/>
      <c r="G477" s="894">
        <f>600000*G6</f>
        <v>648000</v>
      </c>
      <c r="H477" s="895">
        <v>1</v>
      </c>
      <c r="I477" s="602">
        <f t="shared" si="41"/>
        <v>648000</v>
      </c>
      <c r="J477" s="896">
        <f t="shared" si="42"/>
        <v>136080</v>
      </c>
      <c r="K477" s="897">
        <f t="shared" si="43"/>
        <v>784080</v>
      </c>
      <c r="L477" s="168"/>
      <c r="M477" s="760"/>
      <c r="N477" s="86"/>
      <c r="O477" s="86"/>
      <c r="P477" s="86">
        <f t="shared" si="44"/>
        <v>648000</v>
      </c>
      <c r="Q477" s="87"/>
    </row>
    <row r="478" spans="1:17" customFormat="1" ht="15.75" customHeight="1">
      <c r="A478" s="1"/>
      <c r="B478" s="299"/>
      <c r="C478" s="831"/>
      <c r="D478" s="902" t="s">
        <v>689</v>
      </c>
      <c r="E478" s="892" t="s">
        <v>690</v>
      </c>
      <c r="F478" s="893"/>
      <c r="G478" s="894">
        <f>G6*3000000</f>
        <v>3240000</v>
      </c>
      <c r="H478" s="895">
        <v>1</v>
      </c>
      <c r="I478" s="602">
        <f t="shared" si="41"/>
        <v>3240000</v>
      </c>
      <c r="J478" s="896"/>
      <c r="K478" s="897">
        <f t="shared" si="43"/>
        <v>3240000</v>
      </c>
      <c r="L478" s="168"/>
      <c r="M478" s="760"/>
      <c r="N478" s="86"/>
      <c r="O478" s="86"/>
      <c r="P478" s="86">
        <f t="shared" si="44"/>
        <v>3240000</v>
      </c>
      <c r="Q478" s="87"/>
    </row>
    <row r="479" spans="1:17" customFormat="1" ht="15.75" customHeight="1">
      <c r="A479" s="1"/>
      <c r="B479" s="299"/>
      <c r="C479" s="831"/>
      <c r="D479" s="902" t="s">
        <v>691</v>
      </c>
      <c r="E479" s="898" t="s">
        <v>742</v>
      </c>
      <c r="F479" s="893"/>
      <c r="G479" s="894">
        <f>'AAA a Marzo26'!D11</f>
        <v>409178.52</v>
      </c>
      <c r="H479" s="895">
        <v>1</v>
      </c>
      <c r="I479" s="602">
        <f t="shared" si="41"/>
        <v>409178.52</v>
      </c>
      <c r="J479" s="896"/>
      <c r="K479" s="897">
        <f t="shared" si="43"/>
        <v>409178.52</v>
      </c>
      <c r="L479" s="168"/>
      <c r="M479" s="760"/>
      <c r="N479" s="114"/>
      <c r="O479" s="86"/>
      <c r="P479" s="86">
        <f t="shared" si="44"/>
        <v>409178.52</v>
      </c>
      <c r="Q479" s="87"/>
    </row>
    <row r="480" spans="1:17" customFormat="1" ht="15.75" customHeight="1" thickBot="1">
      <c r="A480" s="1"/>
      <c r="B480" s="299"/>
      <c r="C480" s="831"/>
      <c r="D480" s="903"/>
      <c r="E480" s="2"/>
      <c r="F480" s="3"/>
      <c r="G480" s="1051" t="s">
        <v>719</v>
      </c>
      <c r="H480" s="1051"/>
      <c r="I480" s="383">
        <f>SUM(I474:I479)</f>
        <v>9565178.5199999996</v>
      </c>
      <c r="J480" s="891">
        <f>SUM(J474:J479)</f>
        <v>1242360</v>
      </c>
      <c r="K480" s="891">
        <f>SUM(K474:K479)</f>
        <v>10807538.52</v>
      </c>
      <c r="L480" s="168"/>
      <c r="M480" s="762"/>
      <c r="N480" s="94">
        <f>SUM(N474:N479)</f>
        <v>0</v>
      </c>
      <c r="O480" s="94">
        <f>SUM(O474:O479)</f>
        <v>0</v>
      </c>
      <c r="P480" s="94">
        <f>SUM(P474:P479)</f>
        <v>9565178.5199999996</v>
      </c>
      <c r="Q480" s="379">
        <f>SUM(N480:P480)</f>
        <v>9565178.5199999996</v>
      </c>
    </row>
    <row r="481" spans="1:17" customFormat="1" ht="15.75" customHeight="1" thickBot="1">
      <c r="A481" s="1"/>
      <c r="B481" s="299"/>
      <c r="C481" s="831"/>
      <c r="D481" s="903"/>
      <c r="E481" s="763"/>
      <c r="F481" s="764"/>
      <c r="G481" s="765"/>
      <c r="H481" s="765"/>
      <c r="I481" s="766"/>
      <c r="J481" s="766"/>
      <c r="K481" s="766"/>
      <c r="L481" s="766"/>
      <c r="N481" s="766"/>
      <c r="O481" s="767"/>
      <c r="P481" s="768"/>
      <c r="Q481" s="769"/>
    </row>
    <row r="482" spans="1:17" customFormat="1" ht="15.75" customHeight="1">
      <c r="A482" s="1"/>
      <c r="B482" s="299"/>
      <c r="C482" s="831"/>
      <c r="D482" s="901">
        <v>27</v>
      </c>
      <c r="E482" s="889" t="s">
        <v>692</v>
      </c>
      <c r="F482" s="269" t="s">
        <v>18</v>
      </c>
      <c r="G482" s="890" t="s">
        <v>19</v>
      </c>
      <c r="H482" s="366" t="s">
        <v>20</v>
      </c>
      <c r="I482" s="382" t="s">
        <v>9</v>
      </c>
      <c r="J482" s="270" t="s">
        <v>10</v>
      </c>
      <c r="K482" s="270" t="s">
        <v>11</v>
      </c>
      <c r="L482" s="758"/>
      <c r="M482" s="759"/>
      <c r="N482" s="83" t="s">
        <v>12</v>
      </c>
      <c r="O482" s="83" t="s">
        <v>13</v>
      </c>
      <c r="P482" s="83" t="s">
        <v>14</v>
      </c>
      <c r="Q482" s="378" t="s">
        <v>9</v>
      </c>
    </row>
    <row r="483" spans="1:17" customFormat="1" ht="15.75" customHeight="1">
      <c r="A483" s="1"/>
      <c r="B483" s="299"/>
      <c r="C483" s="831"/>
      <c r="D483" s="902" t="s">
        <v>693</v>
      </c>
      <c r="E483" s="892" t="s">
        <v>747</v>
      </c>
      <c r="F483" s="893"/>
      <c r="G483" s="899">
        <v>140000</v>
      </c>
      <c r="H483" s="900">
        <v>60</v>
      </c>
      <c r="I483" s="602">
        <f t="shared" ref="I483:I485" si="45">G483*H483</f>
        <v>8400000</v>
      </c>
      <c r="J483" s="896">
        <f>I483*0.21</f>
        <v>1764000</v>
      </c>
      <c r="K483" s="897">
        <f>I483+J483</f>
        <v>10164000</v>
      </c>
      <c r="L483" s="168"/>
      <c r="M483" s="760"/>
      <c r="N483" s="86"/>
      <c r="O483" s="86"/>
      <c r="P483" s="86">
        <f t="shared" ref="P483:P485" si="46">I483</f>
        <v>8400000</v>
      </c>
      <c r="Q483" s="86"/>
    </row>
    <row r="484" spans="1:17" customFormat="1" ht="15.75" customHeight="1">
      <c r="A484" s="1"/>
      <c r="B484" s="299"/>
      <c r="C484" s="831"/>
      <c r="D484" s="902" t="s">
        <v>694</v>
      </c>
      <c r="E484" s="892" t="s">
        <v>695</v>
      </c>
      <c r="F484" s="893"/>
      <c r="G484" s="893"/>
      <c r="H484" s="900"/>
      <c r="I484" s="602">
        <f t="shared" si="45"/>
        <v>0</v>
      </c>
      <c r="J484" s="896"/>
      <c r="K484" s="897">
        <f>I484+J484</f>
        <v>0</v>
      </c>
      <c r="L484" s="168"/>
      <c r="M484" s="760"/>
      <c r="N484" s="86"/>
      <c r="O484" s="86"/>
      <c r="P484" s="86">
        <f t="shared" si="46"/>
        <v>0</v>
      </c>
      <c r="Q484" s="86"/>
    </row>
    <row r="485" spans="1:17" customFormat="1" ht="15.75" customHeight="1">
      <c r="A485" s="1"/>
      <c r="B485" s="299"/>
      <c r="C485" s="831"/>
      <c r="D485" s="902" t="s">
        <v>696</v>
      </c>
      <c r="E485" s="892" t="s">
        <v>697</v>
      </c>
      <c r="F485" s="893"/>
      <c r="G485" s="899">
        <f>G6*55000</f>
        <v>59400.000000000007</v>
      </c>
      <c r="H485" s="900">
        <v>10</v>
      </c>
      <c r="I485" s="602">
        <f t="shared" si="45"/>
        <v>594000.00000000012</v>
      </c>
      <c r="J485" s="896">
        <f>I485*0.21</f>
        <v>124740.00000000001</v>
      </c>
      <c r="K485" s="897">
        <f>I485+J485</f>
        <v>718740.00000000012</v>
      </c>
      <c r="L485" s="168"/>
      <c r="M485" s="760"/>
      <c r="N485" s="86"/>
      <c r="O485" s="86"/>
      <c r="P485" s="86">
        <f t="shared" si="46"/>
        <v>594000.00000000012</v>
      </c>
      <c r="Q485" s="86"/>
    </row>
    <row r="486" spans="1:17" customFormat="1" ht="15.75" customHeight="1" thickBot="1">
      <c r="A486" s="1"/>
      <c r="B486" s="299"/>
      <c r="C486" s="831"/>
      <c r="D486" s="903"/>
      <c r="E486" s="2"/>
      <c r="F486" s="3"/>
      <c r="G486" s="1051" t="s">
        <v>722</v>
      </c>
      <c r="H486" s="1051"/>
      <c r="I486" s="383">
        <f>SUM(I483:I485)</f>
        <v>8994000</v>
      </c>
      <c r="J486" s="891">
        <f>SUM(J483:J485)</f>
        <v>1888740</v>
      </c>
      <c r="K486" s="891">
        <f>SUM(K483:K485)</f>
        <v>10882740</v>
      </c>
      <c r="L486" s="168"/>
      <c r="M486" s="762"/>
      <c r="N486" s="94">
        <f>SUM(N483:N485)</f>
        <v>0</v>
      </c>
      <c r="O486" s="94">
        <f>SUM(O483:O485)</f>
        <v>0</v>
      </c>
      <c r="P486" s="94">
        <f>SUM(P483:P485)</f>
        <v>8994000</v>
      </c>
      <c r="Q486" s="379">
        <f>SUM(N486:P486)</f>
        <v>8994000</v>
      </c>
    </row>
    <row r="487" spans="1:17" customFormat="1" ht="15.75" customHeight="1" thickBot="1">
      <c r="A487" s="1"/>
      <c r="B487" s="299"/>
      <c r="C487" s="831"/>
      <c r="D487" s="903"/>
      <c r="E487" s="763"/>
      <c r="F487" s="764"/>
      <c r="G487" s="761"/>
      <c r="H487" s="761"/>
      <c r="I487" s="770"/>
      <c r="J487" s="766"/>
      <c r="K487" s="766"/>
      <c r="L487" s="766"/>
      <c r="N487" s="766"/>
      <c r="O487" s="767"/>
      <c r="P487" s="768"/>
      <c r="Q487" s="769"/>
    </row>
    <row r="488" spans="1:17" customFormat="1" ht="15.75" customHeight="1">
      <c r="A488" s="1"/>
      <c r="B488" s="299"/>
      <c r="C488" s="831"/>
      <c r="D488" s="901">
        <v>28</v>
      </c>
      <c r="E488" s="889" t="s">
        <v>698</v>
      </c>
      <c r="F488" s="269" t="s">
        <v>18</v>
      </c>
      <c r="G488" s="890" t="s">
        <v>19</v>
      </c>
      <c r="H488" s="366" t="s">
        <v>20</v>
      </c>
      <c r="I488" s="382" t="s">
        <v>9</v>
      </c>
      <c r="J488" s="270" t="s">
        <v>10</v>
      </c>
      <c r="K488" s="270" t="s">
        <v>11</v>
      </c>
      <c r="L488" s="758"/>
      <c r="M488" s="759"/>
      <c r="N488" s="83" t="s">
        <v>12</v>
      </c>
      <c r="O488" s="83" t="s">
        <v>13</v>
      </c>
      <c r="P488" s="83" t="s">
        <v>14</v>
      </c>
      <c r="Q488" s="378" t="s">
        <v>9</v>
      </c>
    </row>
    <row r="489" spans="1:17" customFormat="1" ht="15.75" customHeight="1">
      <c r="A489" s="1"/>
      <c r="B489" s="299"/>
      <c r="C489" s="831"/>
      <c r="D489" s="902" t="s">
        <v>699</v>
      </c>
      <c r="E489" s="892" t="s">
        <v>700</v>
      </c>
      <c r="F489" s="893"/>
      <c r="G489" s="899">
        <f>G6*12000000</f>
        <v>12960000</v>
      </c>
      <c r="H489" s="900">
        <v>1</v>
      </c>
      <c r="I489" s="602">
        <f>G489*H489</f>
        <v>12960000</v>
      </c>
      <c r="J489" s="896">
        <f>+I489*21%</f>
        <v>2721600</v>
      </c>
      <c r="K489" s="897">
        <f>I489+J489</f>
        <v>15681600</v>
      </c>
      <c r="L489" s="168"/>
      <c r="M489" s="760"/>
      <c r="N489" s="86"/>
      <c r="O489" s="86"/>
      <c r="P489" s="86">
        <f t="shared" ref="P489:P493" si="47">I489</f>
        <v>12960000</v>
      </c>
      <c r="Q489" s="86"/>
    </row>
    <row r="490" spans="1:17" customFormat="1" ht="15.75" customHeight="1">
      <c r="A490" s="1"/>
      <c r="B490" s="299"/>
      <c r="C490" s="831"/>
      <c r="D490" s="902" t="s">
        <v>701</v>
      </c>
      <c r="E490" s="892" t="s">
        <v>702</v>
      </c>
      <c r="F490" s="893"/>
      <c r="G490" s="899">
        <f>G6*4200</f>
        <v>4536</v>
      </c>
      <c r="H490" s="900">
        <v>100</v>
      </c>
      <c r="I490" s="602">
        <f t="shared" ref="I490:I493" si="48">G490*H490</f>
        <v>453600</v>
      </c>
      <c r="J490" s="896">
        <f>+I490*21%</f>
        <v>95256</v>
      </c>
      <c r="K490" s="897">
        <f>I490+J490</f>
        <v>548856</v>
      </c>
      <c r="L490" s="168"/>
      <c r="M490" s="760"/>
      <c r="N490" s="86"/>
      <c r="O490" s="86"/>
      <c r="P490" s="86">
        <f t="shared" si="47"/>
        <v>453600</v>
      </c>
      <c r="Q490" s="86"/>
    </row>
    <row r="491" spans="1:17" customFormat="1" ht="15.75" customHeight="1">
      <c r="A491" s="1"/>
      <c r="B491" s="299"/>
      <c r="C491" s="831"/>
      <c r="D491" s="902" t="s">
        <v>703</v>
      </c>
      <c r="E491" s="892" t="s">
        <v>704</v>
      </c>
      <c r="F491" s="893"/>
      <c r="G491" s="899">
        <f>G6*86500</f>
        <v>93420</v>
      </c>
      <c r="H491" s="900">
        <v>25</v>
      </c>
      <c r="I491" s="602">
        <f t="shared" si="48"/>
        <v>2335500</v>
      </c>
      <c r="J491" s="896">
        <f>+I491*21%</f>
        <v>490455</v>
      </c>
      <c r="K491" s="897">
        <f>I491+J491</f>
        <v>2825955</v>
      </c>
      <c r="L491" s="168"/>
      <c r="M491" s="760"/>
      <c r="N491" s="86"/>
      <c r="O491" s="86"/>
      <c r="P491" s="86">
        <f t="shared" si="47"/>
        <v>2335500</v>
      </c>
      <c r="Q491" s="86"/>
    </row>
    <row r="492" spans="1:17" customFormat="1" ht="15.75" customHeight="1">
      <c r="A492" s="1"/>
      <c r="B492" s="299"/>
      <c r="C492" s="831"/>
      <c r="D492" s="902" t="s">
        <v>705</v>
      </c>
      <c r="E492" s="892" t="s">
        <v>706</v>
      </c>
      <c r="F492" s="893"/>
      <c r="G492" s="899">
        <v>165000</v>
      </c>
      <c r="H492" s="907">
        <v>5</v>
      </c>
      <c r="I492" s="602">
        <f t="shared" si="48"/>
        <v>825000</v>
      </c>
      <c r="J492" s="896">
        <f>+I492*21%</f>
        <v>173250</v>
      </c>
      <c r="K492" s="897">
        <f>I492+J492</f>
        <v>998250</v>
      </c>
      <c r="L492" s="168"/>
      <c r="M492" s="760"/>
      <c r="N492" s="86"/>
      <c r="O492" s="86"/>
      <c r="P492" s="86">
        <f t="shared" si="47"/>
        <v>825000</v>
      </c>
      <c r="Q492" s="86"/>
    </row>
    <row r="493" spans="1:17" customFormat="1" ht="15.75" customHeight="1">
      <c r="A493" s="1"/>
      <c r="B493" s="299"/>
      <c r="C493" s="831"/>
      <c r="D493" s="902" t="s">
        <v>707</v>
      </c>
      <c r="E493" s="898" t="s">
        <v>708</v>
      </c>
      <c r="F493" s="893"/>
      <c r="G493" s="893"/>
      <c r="H493" s="900"/>
      <c r="I493" s="602">
        <f t="shared" si="48"/>
        <v>0</v>
      </c>
      <c r="J493" s="896"/>
      <c r="K493" s="897">
        <f>I493+J493</f>
        <v>0</v>
      </c>
      <c r="L493" s="168"/>
      <c r="M493" s="760"/>
      <c r="N493" s="114"/>
      <c r="O493" s="86"/>
      <c r="P493" s="86">
        <f t="shared" si="47"/>
        <v>0</v>
      </c>
      <c r="Q493" s="86"/>
    </row>
    <row r="494" spans="1:17" customFormat="1" ht="15.75" customHeight="1" thickBot="1">
      <c r="A494" s="1"/>
      <c r="B494" s="299"/>
      <c r="C494" s="831"/>
      <c r="D494" s="903"/>
      <c r="E494" s="2"/>
      <c r="F494" s="3"/>
      <c r="G494" s="1051" t="s">
        <v>721</v>
      </c>
      <c r="H494" s="1051"/>
      <c r="I494" s="383">
        <f>SUM(I489:I493)</f>
        <v>16574100</v>
      </c>
      <c r="J494" s="891">
        <f>SUM(J489:J493)</f>
        <v>3480561</v>
      </c>
      <c r="K494" s="891">
        <f>SUM(K489:K493)</f>
        <v>20054661</v>
      </c>
      <c r="L494" s="168"/>
      <c r="M494" s="762"/>
      <c r="N494" s="96">
        <f>SUM(N489:N493)</f>
        <v>0</v>
      </c>
      <c r="O494" s="96">
        <f>SUM(O489:O493)</f>
        <v>0</v>
      </c>
      <c r="P494" s="96">
        <f>SUM(P489:P493)</f>
        <v>16574100</v>
      </c>
      <c r="Q494" s="379">
        <f>SUM(N494:P494)</f>
        <v>16574100</v>
      </c>
    </row>
    <row r="495" spans="1:17" customFormat="1" ht="15.75" customHeight="1" thickBot="1">
      <c r="A495" s="1"/>
      <c r="B495" s="299"/>
      <c r="C495" s="831"/>
      <c r="D495" s="903"/>
      <c r="E495" s="763"/>
      <c r="F495" s="764"/>
      <c r="G495" s="765"/>
      <c r="H495" s="765"/>
      <c r="I495" s="766"/>
      <c r="J495" s="766"/>
      <c r="K495" s="766"/>
      <c r="L495" s="766"/>
      <c r="N495" s="766"/>
      <c r="O495" s="767"/>
      <c r="P495" s="768"/>
      <c r="Q495" s="769"/>
    </row>
    <row r="496" spans="1:17" customFormat="1" ht="15.75" customHeight="1">
      <c r="A496" s="1"/>
      <c r="B496" s="299"/>
      <c r="C496" s="831"/>
      <c r="D496" s="901">
        <v>29</v>
      </c>
      <c r="E496" s="889" t="s">
        <v>709</v>
      </c>
      <c r="F496" s="269" t="s">
        <v>18</v>
      </c>
      <c r="G496" s="890" t="s">
        <v>19</v>
      </c>
      <c r="H496" s="366" t="s">
        <v>20</v>
      </c>
      <c r="I496" s="382" t="s">
        <v>9</v>
      </c>
      <c r="J496" s="270" t="s">
        <v>10</v>
      </c>
      <c r="K496" s="270" t="s">
        <v>11</v>
      </c>
      <c r="L496" s="771"/>
      <c r="M496" s="772"/>
      <c r="N496" s="83" t="s">
        <v>12</v>
      </c>
      <c r="O496" s="83" t="s">
        <v>13</v>
      </c>
      <c r="P496" s="83" t="s">
        <v>14</v>
      </c>
      <c r="Q496" s="378" t="s">
        <v>9</v>
      </c>
    </row>
    <row r="497" spans="1:19" customFormat="1" ht="15.75" customHeight="1">
      <c r="A497" s="1"/>
      <c r="B497" s="299"/>
      <c r="C497" s="831"/>
      <c r="D497" s="902" t="s">
        <v>710</v>
      </c>
      <c r="E497" s="898" t="s">
        <v>738</v>
      </c>
      <c r="F497" s="906"/>
      <c r="G497" s="899">
        <f>G6*10000000</f>
        <v>10800000</v>
      </c>
      <c r="H497" s="895">
        <v>1</v>
      </c>
      <c r="I497" s="602">
        <f t="shared" ref="I497:I500" si="49">G497*H497</f>
        <v>10800000</v>
      </c>
      <c r="J497" s="896">
        <f>I497*0.21</f>
        <v>2268000</v>
      </c>
      <c r="K497" s="897">
        <f>I497+J497</f>
        <v>13068000</v>
      </c>
      <c r="L497" s="168"/>
      <c r="M497" s="760"/>
      <c r="N497" s="86"/>
      <c r="O497" s="86"/>
      <c r="P497" s="86">
        <f t="shared" ref="P497:P500" si="50">I497</f>
        <v>10800000</v>
      </c>
      <c r="Q497" s="86"/>
    </row>
    <row r="498" spans="1:19" customFormat="1" ht="15.75" customHeight="1">
      <c r="A498" s="1"/>
      <c r="B498" s="299"/>
      <c r="C498" s="831"/>
      <c r="D498" s="902" t="s">
        <v>711</v>
      </c>
      <c r="E498" s="898" t="s">
        <v>712</v>
      </c>
      <c r="F498" s="906"/>
      <c r="G498" s="899">
        <f>G6*14000000</f>
        <v>15120000.000000002</v>
      </c>
      <c r="H498" s="895">
        <v>1</v>
      </c>
      <c r="I498" s="602">
        <f t="shared" si="49"/>
        <v>15120000.000000002</v>
      </c>
      <c r="J498" s="896">
        <f>I498*0.21</f>
        <v>3175200.0000000005</v>
      </c>
      <c r="K498" s="897">
        <f>I498+J498</f>
        <v>18295200.000000004</v>
      </c>
      <c r="L498" s="168"/>
      <c r="M498" s="760"/>
      <c r="N498" s="86"/>
      <c r="O498" s="86"/>
      <c r="P498" s="86">
        <f t="shared" si="50"/>
        <v>15120000.000000002</v>
      </c>
      <c r="Q498" s="86"/>
    </row>
    <row r="499" spans="1:19" customFormat="1" ht="15.75" customHeight="1">
      <c r="A499" s="1"/>
      <c r="B499" s="299"/>
      <c r="C499" s="831"/>
      <c r="D499" s="902" t="s">
        <v>713</v>
      </c>
      <c r="E499" s="898" t="s">
        <v>714</v>
      </c>
      <c r="F499" s="906"/>
      <c r="G499" s="899">
        <f>3000*G7</f>
        <v>4650000</v>
      </c>
      <c r="H499" s="895">
        <v>1</v>
      </c>
      <c r="I499" s="602">
        <f t="shared" si="49"/>
        <v>4650000</v>
      </c>
      <c r="J499" s="896">
        <f>I499*0.21</f>
        <v>976500</v>
      </c>
      <c r="K499" s="897">
        <f>I499+J499</f>
        <v>5626500</v>
      </c>
      <c r="L499" s="168"/>
      <c r="M499" s="760"/>
      <c r="N499" s="86"/>
      <c r="O499" s="86"/>
      <c r="P499" s="86">
        <f t="shared" si="50"/>
        <v>4650000</v>
      </c>
      <c r="Q499" s="86"/>
    </row>
    <row r="500" spans="1:19" customFormat="1" ht="15.75" customHeight="1">
      <c r="A500" s="1"/>
      <c r="B500" s="299"/>
      <c r="C500" s="831"/>
      <c r="D500" s="902" t="s">
        <v>715</v>
      </c>
      <c r="E500" s="898" t="s">
        <v>716</v>
      </c>
      <c r="F500" s="893"/>
      <c r="G500" s="893"/>
      <c r="H500" s="895">
        <v>1</v>
      </c>
      <c r="I500" s="602">
        <f t="shared" si="49"/>
        <v>0</v>
      </c>
      <c r="J500" s="896">
        <f>I500*0.21</f>
        <v>0</v>
      </c>
      <c r="K500" s="897">
        <f>I500+J500</f>
        <v>0</v>
      </c>
      <c r="L500" s="168"/>
      <c r="M500" s="760"/>
      <c r="N500" s="114"/>
      <c r="O500" s="86"/>
      <c r="P500" s="86">
        <f t="shared" si="50"/>
        <v>0</v>
      </c>
      <c r="Q500" s="87"/>
    </row>
    <row r="501" spans="1:19" customFormat="1" ht="15.75" customHeight="1" thickBot="1">
      <c r="A501" s="1"/>
      <c r="B501" s="299"/>
      <c r="C501" s="831"/>
      <c r="D501" s="904"/>
      <c r="E501" s="2"/>
      <c r="F501" s="3"/>
      <c r="G501" s="1051" t="s">
        <v>720</v>
      </c>
      <c r="H501" s="1051"/>
      <c r="I501" s="383">
        <f>SUM(I497:I500)</f>
        <v>30570000</v>
      </c>
      <c r="J501" s="891">
        <f>SUM(J497:J500)</f>
        <v>6419700</v>
      </c>
      <c r="K501" s="905">
        <f>SUM(K497:K500)</f>
        <v>36989700</v>
      </c>
      <c r="L501" s="168"/>
      <c r="M501" s="762"/>
      <c r="N501" s="94">
        <f>SUM(N497:N500)</f>
        <v>0</v>
      </c>
      <c r="O501" s="94">
        <f>SUM(O497:O500)</f>
        <v>0</v>
      </c>
      <c r="P501" s="94">
        <f>SUM(P497:P500)</f>
        <v>30570000</v>
      </c>
      <c r="Q501" s="379">
        <f>SUM(N501:P501)</f>
        <v>30570000</v>
      </c>
    </row>
    <row r="502" spans="1:19">
      <c r="S502" s="1"/>
    </row>
    <row r="503" spans="1:19">
      <c r="S503" s="1"/>
    </row>
    <row r="504" spans="1:19" ht="13.5" thickBot="1">
      <c r="I504" s="1012" t="s">
        <v>770</v>
      </c>
      <c r="J504" s="1014" t="s">
        <v>10</v>
      </c>
      <c r="K504" s="1014" t="s">
        <v>771</v>
      </c>
    </row>
    <row r="505" spans="1:19" ht="18.75" thickBot="1">
      <c r="G505" s="367" t="s">
        <v>717</v>
      </c>
      <c r="H505" s="800"/>
      <c r="I505" s="369">
        <f>I480+I486+I494+I501</f>
        <v>65703278.519999996</v>
      </c>
      <c r="J505" s="801">
        <f>J480+J486+J494+J501</f>
        <v>13031361</v>
      </c>
      <c r="K505" s="802">
        <f>K480+K486+K494+K501</f>
        <v>78734639.519999996</v>
      </c>
    </row>
    <row r="508" spans="1:19" ht="13.5" thickBot="1">
      <c r="I508" s="701" t="s">
        <v>768</v>
      </c>
      <c r="J508" s="1014" t="s">
        <v>10</v>
      </c>
      <c r="K508" s="1014" t="s">
        <v>769</v>
      </c>
    </row>
    <row r="509" spans="1:19" ht="18.75" thickBot="1">
      <c r="G509" s="367" t="s">
        <v>718</v>
      </c>
      <c r="H509" s="800"/>
      <c r="I509" s="368">
        <f>I453+I505</f>
        <v>2248868406.0250459</v>
      </c>
      <c r="J509" s="801">
        <f>J453+J505</f>
        <v>253609368.9948</v>
      </c>
      <c r="K509" s="801">
        <f>K453+K505</f>
        <v>2502477775.019846</v>
      </c>
    </row>
  </sheetData>
  <sheetProtection selectLockedCells="1" selectUnlockedCells="1"/>
  <mergeCells count="33">
    <mergeCell ref="G486:H486"/>
    <mergeCell ref="G494:H494"/>
    <mergeCell ref="G501:H501"/>
    <mergeCell ref="G449:H449"/>
    <mergeCell ref="G374:H374"/>
    <mergeCell ref="G380:H380"/>
    <mergeCell ref="G413:H413"/>
    <mergeCell ref="G480:H480"/>
    <mergeCell ref="D3:D5"/>
    <mergeCell ref="E3:E5"/>
    <mergeCell ref="G430:H430"/>
    <mergeCell ref="G440:H440"/>
    <mergeCell ref="G210:H210"/>
    <mergeCell ref="G25:H25"/>
    <mergeCell ref="G32:H32"/>
    <mergeCell ref="G44:H44"/>
    <mergeCell ref="G95:H95"/>
    <mergeCell ref="G191:H191"/>
    <mergeCell ref="G224:H224"/>
    <mergeCell ref="G241:H241"/>
    <mergeCell ref="G252:H252"/>
    <mergeCell ref="G282:H282"/>
    <mergeCell ref="G316:H316"/>
    <mergeCell ref="G329:H329"/>
    <mergeCell ref="G200:H200"/>
    <mergeCell ref="N3:Q5"/>
    <mergeCell ref="N9:Q9"/>
    <mergeCell ref="G20:H20"/>
    <mergeCell ref="G153:H153"/>
    <mergeCell ref="G168:H168"/>
    <mergeCell ref="G108:H108"/>
    <mergeCell ref="G127:H127"/>
    <mergeCell ref="G142:H142"/>
  </mergeCells>
  <hyperlinks>
    <hyperlink ref="S13" r:id="rId1"/>
  </hyperlinks>
  <pageMargins left="0.97986111111111107" right="0" top="0.39305555555555555" bottom="0.39305555555555555" header="0.51180555555555551" footer="0.51180555555555551"/>
  <pageSetup paperSize="9" scale="63" firstPageNumber="0" fitToHeight="17" orientation="landscape" horizontalDpi="300" verticalDpi="300" r:id="rId2"/>
  <headerFooter alignWithMargins="0"/>
  <colBreaks count="1" manualBreakCount="1">
    <brk id="7" max="1048575" man="1"/>
  </colBreaks>
  <ignoredErrors>
    <ignoredError sqref="I12:I14 I16:I17 I19 K12:K14 K16:K17 K19 I23:I24 J24:K24 I28:I29 K28 J29 I37 I31 K31 C69 C36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67"/>
  <sheetViews>
    <sheetView zoomScaleNormal="100" workbookViewId="0">
      <selection activeCell="C11" sqref="C11"/>
    </sheetView>
  </sheetViews>
  <sheetFormatPr baseColWidth="10" defaultColWidth="11.28515625" defaultRowHeight="12.75"/>
  <cols>
    <col min="1" max="1" width="1.28515625" style="1" customWidth="1"/>
    <col min="2" max="2" width="8.42578125" style="299" bestFit="1" customWidth="1"/>
    <col min="3" max="3" width="4.28515625" style="1005" customWidth="1"/>
    <col min="4" max="4" width="111.42578125" style="2" customWidth="1"/>
    <col min="5" max="5" width="14.42578125" style="3" customWidth="1"/>
    <col min="6" max="6" width="13.42578125" style="2" customWidth="1"/>
    <col min="7" max="7" width="13.7109375" style="2" customWidth="1"/>
    <col min="8" max="8" width="12.140625" style="2" bestFit="1" customWidth="1"/>
    <col min="9" max="9" width="10.7109375" style="4" bestFit="1" customWidth="1"/>
    <col min="10" max="10" width="12.28515625" style="4" bestFit="1" customWidth="1"/>
    <col min="11" max="11" width="16.28515625" style="4" hidden="1" customWidth="1"/>
    <col min="12" max="12" width="8.140625" style="168" hidden="1" customWidth="1"/>
    <col min="13" max="13" width="2" style="1" customWidth="1"/>
    <col min="14" max="15" width="12.140625" style="1" bestFit="1" customWidth="1"/>
    <col min="16" max="16" width="11" style="1" bestFit="1" customWidth="1"/>
    <col min="17" max="17" width="12.140625" style="1" bestFit="1" customWidth="1"/>
    <col min="18" max="18" width="2" style="1" customWidth="1"/>
    <col min="19" max="19" width="1.28515625" style="187" customWidth="1"/>
    <col min="20" max="20" width="24.28515625" style="1" customWidth="1"/>
    <col min="21" max="16384" width="11.28515625" style="1"/>
  </cols>
  <sheetData>
    <row r="1" spans="1:19" ht="12.75" customHeight="1" thickBot="1">
      <c r="A1" s="5"/>
      <c r="B1" s="220"/>
      <c r="C1" s="826"/>
      <c r="D1" s="7"/>
      <c r="E1" s="8"/>
      <c r="F1" s="7"/>
      <c r="G1" s="7"/>
      <c r="H1" s="7"/>
      <c r="I1" s="9"/>
      <c r="J1" s="9"/>
      <c r="K1" s="9"/>
      <c r="L1" s="161"/>
      <c r="M1" s="5"/>
      <c r="N1" s="5"/>
      <c r="O1" s="5"/>
      <c r="P1" s="5"/>
      <c r="Q1" s="5"/>
      <c r="R1" s="5"/>
      <c r="S1" s="185"/>
    </row>
    <row r="2" spans="1:19" ht="17.25" customHeight="1" thickTop="1" thickBot="1">
      <c r="A2" s="5"/>
      <c r="B2" s="289"/>
      <c r="C2" s="1004"/>
      <c r="D2" s="11"/>
      <c r="E2" s="12"/>
      <c r="F2" s="11"/>
      <c r="G2" s="11"/>
      <c r="H2" s="11"/>
      <c r="I2" s="13"/>
      <c r="J2" s="13"/>
      <c r="K2" s="13"/>
      <c r="L2" s="162"/>
      <c r="M2" s="10"/>
      <c r="N2" s="15"/>
      <c r="O2" s="15"/>
      <c r="P2" s="15"/>
      <c r="Q2" s="15"/>
      <c r="R2" s="14"/>
      <c r="S2" s="185"/>
    </row>
    <row r="3" spans="1:19" ht="15.75" customHeight="1" thickBot="1">
      <c r="A3" s="5"/>
      <c r="B3" s="290"/>
      <c r="C3" s="1054"/>
      <c r="D3" s="1055" t="s">
        <v>367</v>
      </c>
      <c r="E3" s="17" t="s">
        <v>0</v>
      </c>
      <c r="F3" s="217">
        <v>7</v>
      </c>
      <c r="G3" s="19" t="s">
        <v>1</v>
      </c>
      <c r="H3" s="18">
        <v>0</v>
      </c>
      <c r="I3" s="20" t="s">
        <v>2</v>
      </c>
      <c r="J3" s="21">
        <v>30</v>
      </c>
      <c r="K3" s="281"/>
      <c r="L3" s="163"/>
      <c r="M3" s="16"/>
      <c r="N3" s="1042" t="s">
        <v>3</v>
      </c>
      <c r="O3" s="1042"/>
      <c r="P3" s="1042"/>
      <c r="Q3" s="1042"/>
      <c r="R3" s="22"/>
      <c r="S3" s="185"/>
    </row>
    <row r="4" spans="1:19" ht="15.75" customHeight="1" thickBot="1">
      <c r="A4" s="5"/>
      <c r="B4" s="290"/>
      <c r="C4" s="1054"/>
      <c r="D4" s="1056"/>
      <c r="E4" s="23" t="s">
        <v>4</v>
      </c>
      <c r="F4" s="218">
        <v>6</v>
      </c>
      <c r="G4" s="25" t="s">
        <v>5</v>
      </c>
      <c r="H4" s="24">
        <v>0</v>
      </c>
      <c r="I4" s="219" t="s">
        <v>273</v>
      </c>
      <c r="J4" s="279">
        <v>20</v>
      </c>
      <c r="K4" s="282"/>
      <c r="L4" s="163"/>
      <c r="M4" s="16"/>
      <c r="N4" s="1042"/>
      <c r="O4" s="1042"/>
      <c r="P4" s="1042"/>
      <c r="Q4" s="1042"/>
      <c r="R4" s="22"/>
      <c r="S4" s="185"/>
    </row>
    <row r="5" spans="1:19" ht="15.75" customHeight="1" thickBot="1">
      <c r="A5" s="5"/>
      <c r="B5" s="290"/>
      <c r="C5" s="1054"/>
      <c r="D5" s="1056"/>
      <c r="E5" s="23" t="s">
        <v>6</v>
      </c>
      <c r="F5" s="218">
        <v>10</v>
      </c>
      <c r="G5" s="25" t="s">
        <v>7</v>
      </c>
      <c r="H5" s="24">
        <f>5*2.25</f>
        <v>11.25</v>
      </c>
      <c r="I5" s="278" t="s">
        <v>274</v>
      </c>
      <c r="J5" s="280">
        <v>10</v>
      </c>
      <c r="K5" s="48"/>
      <c r="L5" s="163"/>
      <c r="M5" s="16"/>
      <c r="N5" s="1042"/>
      <c r="O5" s="1042"/>
      <c r="P5" s="1042"/>
      <c r="Q5" s="1042"/>
      <c r="R5" s="22"/>
      <c r="S5" s="185"/>
    </row>
    <row r="6" spans="1:19" s="37" customFormat="1" ht="20.25" customHeight="1" thickBot="1">
      <c r="A6" s="26"/>
      <c r="B6" s="291"/>
      <c r="C6" s="1009"/>
      <c r="D6" s="29" t="s">
        <v>8</v>
      </c>
      <c r="E6" s="30"/>
      <c r="F6" s="30"/>
      <c r="G6" s="31"/>
      <c r="H6" s="375" t="s">
        <v>9</v>
      </c>
      <c r="I6" s="32" t="s">
        <v>10</v>
      </c>
      <c r="J6" s="33" t="s">
        <v>11</v>
      </c>
      <c r="K6" s="283"/>
      <c r="L6" s="164" t="s">
        <v>220</v>
      </c>
      <c r="M6" s="27"/>
      <c r="N6" s="35" t="s">
        <v>12</v>
      </c>
      <c r="O6" s="36" t="s">
        <v>13</v>
      </c>
      <c r="P6" s="36" t="s">
        <v>14</v>
      </c>
      <c r="Q6" s="375" t="s">
        <v>9</v>
      </c>
      <c r="R6" s="34"/>
      <c r="S6" s="186"/>
    </row>
    <row r="7" spans="1:19" ht="13.5" thickBot="1">
      <c r="A7" s="5"/>
      <c r="B7" s="290"/>
      <c r="D7" s="69"/>
      <c r="E7" s="8"/>
      <c r="F7" s="7"/>
      <c r="G7" s="7"/>
      <c r="H7" s="70"/>
      <c r="I7" s="9"/>
      <c r="J7" s="9"/>
      <c r="K7" s="9"/>
      <c r="L7" s="163"/>
      <c r="M7" s="16"/>
      <c r="N7" s="71"/>
      <c r="O7" s="71"/>
      <c r="P7" s="71"/>
      <c r="Q7" s="72"/>
      <c r="R7" s="22"/>
      <c r="S7" s="185"/>
    </row>
    <row r="8" spans="1:19" s="48" customFormat="1" ht="20.25" customHeight="1" thickBot="1">
      <c r="A8" s="43"/>
      <c r="B8" s="292"/>
      <c r="C8" s="827"/>
      <c r="D8" s="180" t="s">
        <v>16</v>
      </c>
      <c r="E8" s="73"/>
      <c r="F8" s="73"/>
      <c r="G8" s="73"/>
      <c r="H8" s="73"/>
      <c r="I8" s="75"/>
      <c r="J8" s="75"/>
      <c r="K8" s="75"/>
      <c r="L8" s="167"/>
      <c r="M8" s="74"/>
      <c r="N8" s="1040" t="s">
        <v>3</v>
      </c>
      <c r="O8" s="1040"/>
      <c r="P8" s="1040"/>
      <c r="Q8" s="1040"/>
      <c r="R8" s="76"/>
      <c r="S8" s="185"/>
    </row>
    <row r="9" spans="1:19">
      <c r="A9" s="5"/>
      <c r="B9" s="290"/>
      <c r="D9" s="69"/>
      <c r="E9" s="8"/>
      <c r="F9" s="7"/>
      <c r="G9" s="7"/>
      <c r="H9" s="70"/>
      <c r="I9" s="9"/>
      <c r="J9" s="9"/>
      <c r="K9" s="9"/>
      <c r="L9" s="163"/>
      <c r="M9" s="16"/>
      <c r="N9" s="71"/>
      <c r="O9" s="71"/>
      <c r="P9" s="71"/>
      <c r="Q9" s="72"/>
      <c r="R9" s="22"/>
      <c r="S9" s="185"/>
    </row>
    <row r="10" spans="1:19" ht="30" customHeight="1">
      <c r="B10" s="296"/>
      <c r="D10" s="170"/>
      <c r="E10" s="171"/>
      <c r="F10" s="172"/>
      <c r="G10" s="173"/>
      <c r="H10" s="174"/>
      <c r="I10" s="175"/>
      <c r="J10" s="176"/>
      <c r="K10" s="176"/>
      <c r="L10" s="177"/>
      <c r="M10" s="169"/>
      <c r="N10" s="135"/>
      <c r="O10" s="135"/>
      <c r="P10" s="135"/>
      <c r="Q10" s="178"/>
      <c r="R10" s="179"/>
    </row>
    <row r="11" spans="1:19" s="67" customFormat="1" ht="15" customHeight="1">
      <c r="A11" s="63"/>
      <c r="B11" s="293"/>
      <c r="C11" s="44">
        <v>4</v>
      </c>
      <c r="D11" s="45" t="s">
        <v>300</v>
      </c>
      <c r="E11" s="78" t="s">
        <v>18</v>
      </c>
      <c r="F11" s="79" t="s">
        <v>19</v>
      </c>
      <c r="G11" s="80" t="s">
        <v>20</v>
      </c>
      <c r="H11" s="381" t="s">
        <v>9</v>
      </c>
      <c r="I11" s="81" t="s">
        <v>10</v>
      </c>
      <c r="J11" s="81" t="s">
        <v>11</v>
      </c>
      <c r="K11" s="284"/>
      <c r="L11" s="165"/>
      <c r="M11" s="77"/>
      <c r="N11" s="83" t="s">
        <v>12</v>
      </c>
      <c r="O11" s="83" t="s">
        <v>13</v>
      </c>
      <c r="P11" s="83" t="s">
        <v>319</v>
      </c>
      <c r="Q11" s="378" t="s">
        <v>9</v>
      </c>
      <c r="R11" s="82"/>
      <c r="S11" s="186"/>
    </row>
    <row r="12" spans="1:19" s="5" customFormat="1" ht="15" customHeight="1">
      <c r="B12" s="290"/>
      <c r="C12" s="1006"/>
      <c r="D12" s="214" t="s">
        <v>315</v>
      </c>
      <c r="E12" s="8"/>
      <c r="F12" s="99"/>
      <c r="G12" s="100"/>
      <c r="H12" s="101"/>
      <c r="I12" s="102"/>
      <c r="J12" s="102"/>
      <c r="K12" s="9"/>
      <c r="L12" s="163"/>
      <c r="M12" s="16"/>
      <c r="N12" s="103"/>
      <c r="O12" s="104"/>
      <c r="P12" s="104"/>
      <c r="Q12" s="105"/>
      <c r="R12" s="22"/>
      <c r="S12" s="185"/>
    </row>
    <row r="13" spans="1:19" s="5" customFormat="1" ht="15" customHeight="1">
      <c r="B13" s="398">
        <v>1</v>
      </c>
      <c r="C13" s="1006">
        <v>1</v>
      </c>
      <c r="D13" s="122" t="s">
        <v>32</v>
      </c>
      <c r="E13" s="466">
        <f>'SICA a Marzo2026'!E5</f>
        <v>801308.16000000003</v>
      </c>
      <c r="F13" s="99"/>
      <c r="H13" s="108"/>
      <c r="I13" s="109"/>
      <c r="J13" s="110"/>
      <c r="L13" s="163"/>
      <c r="M13" s="16"/>
      <c r="N13" s="103"/>
      <c r="O13" s="104"/>
      <c r="P13" s="104"/>
      <c r="Q13" s="105"/>
      <c r="R13" s="22"/>
      <c r="S13" s="185"/>
    </row>
    <row r="14" spans="1:19" s="5" customFormat="1">
      <c r="B14" s="297"/>
      <c r="C14" s="826"/>
      <c r="D14" s="119" t="s">
        <v>0</v>
      </c>
      <c r="E14" s="467" t="s">
        <v>33</v>
      </c>
      <c r="F14" s="331">
        <f>E13</f>
        <v>801308.16000000003</v>
      </c>
      <c r="G14" s="275">
        <v>8</v>
      </c>
      <c r="H14" s="275">
        <f>+G14*F14</f>
        <v>6410465.2800000003</v>
      </c>
      <c r="I14" s="332"/>
      <c r="J14" s="333"/>
      <c r="K14" s="71"/>
      <c r="L14" s="163"/>
      <c r="M14" s="49"/>
      <c r="N14" s="86">
        <f>H14</f>
        <v>6410465.2800000003</v>
      </c>
      <c r="O14" s="112"/>
      <c r="P14" s="86"/>
      <c r="Q14" s="87"/>
      <c r="R14" s="55"/>
      <c r="S14" s="185"/>
    </row>
    <row r="15" spans="1:19" s="5" customFormat="1">
      <c r="B15" s="297"/>
      <c r="C15" s="826"/>
      <c r="D15" s="119" t="s">
        <v>4</v>
      </c>
      <c r="E15" s="467" t="s">
        <v>33</v>
      </c>
      <c r="F15" s="331">
        <f>E13</f>
        <v>801308.16000000003</v>
      </c>
      <c r="G15" s="334">
        <f>$F$4</f>
        <v>6</v>
      </c>
      <c r="H15" s="275">
        <f>+G15*F15</f>
        <v>4807848.96</v>
      </c>
      <c r="I15" s="332"/>
      <c r="J15" s="333"/>
      <c r="K15" s="71"/>
      <c r="L15" s="163"/>
      <c r="M15" s="49"/>
      <c r="N15" s="86"/>
      <c r="O15" s="112">
        <f>H15</f>
        <v>4807848.96</v>
      </c>
      <c r="P15" s="86"/>
      <c r="Q15" s="87"/>
      <c r="R15" s="55"/>
      <c r="S15" s="185"/>
    </row>
    <row r="16" spans="1:19" s="5" customFormat="1">
      <c r="B16" s="297"/>
      <c r="C16" s="826"/>
      <c r="D16" s="119" t="s">
        <v>34</v>
      </c>
      <c r="E16" s="468">
        <f>$H$5+2</f>
        <v>13.25</v>
      </c>
      <c r="F16" s="331">
        <f>E13/44*1.5</f>
        <v>27317.323636363639</v>
      </c>
      <c r="G16" s="334">
        <f>$F$4</f>
        <v>6</v>
      </c>
      <c r="H16" s="275">
        <f>+G16*F16*E16</f>
        <v>2171727.2290909095</v>
      </c>
      <c r="I16" s="332"/>
      <c r="J16" s="333"/>
      <c r="K16" s="71"/>
      <c r="L16" s="163"/>
      <c r="M16" s="49"/>
      <c r="N16" s="86"/>
      <c r="O16" s="112">
        <f>H16</f>
        <v>2171727.2290909095</v>
      </c>
      <c r="P16" s="86"/>
      <c r="Q16" s="87"/>
      <c r="R16" s="55"/>
      <c r="S16" s="185"/>
    </row>
    <row r="17" spans="2:19" s="5" customFormat="1">
      <c r="B17" s="297"/>
      <c r="C17" s="826"/>
      <c r="D17" s="119" t="s">
        <v>1</v>
      </c>
      <c r="E17" s="469" t="s">
        <v>35</v>
      </c>
      <c r="F17" s="331">
        <f>E13/5*1.5</f>
        <v>240392.44800000003</v>
      </c>
      <c r="G17" s="275">
        <v>2</v>
      </c>
      <c r="H17" s="275">
        <f>+G17*F17</f>
        <v>480784.89600000007</v>
      </c>
      <c r="I17" s="332"/>
      <c r="J17" s="333"/>
      <c r="K17" s="71"/>
      <c r="L17" s="163"/>
      <c r="M17" s="49"/>
      <c r="N17" s="86"/>
      <c r="O17" s="112">
        <f>H17</f>
        <v>480784.89600000007</v>
      </c>
      <c r="P17" s="86"/>
      <c r="Q17" s="87"/>
      <c r="R17" s="55"/>
      <c r="S17" s="185"/>
    </row>
    <row r="18" spans="2:19" s="5" customFormat="1">
      <c r="B18" s="297"/>
      <c r="C18" s="826"/>
      <c r="D18" s="119" t="s">
        <v>5</v>
      </c>
      <c r="E18" s="469" t="s">
        <v>35</v>
      </c>
      <c r="F18" s="331">
        <f>E13/5*2</f>
        <v>320523.26400000002</v>
      </c>
      <c r="G18" s="275">
        <f>$H$4</f>
        <v>0</v>
      </c>
      <c r="H18" s="275">
        <f>+G18*F18</f>
        <v>0</v>
      </c>
      <c r="I18" s="332"/>
      <c r="J18" s="333"/>
      <c r="K18" s="71"/>
      <c r="L18" s="163"/>
      <c r="M18" s="49"/>
      <c r="N18" s="86"/>
      <c r="O18" s="112">
        <f>H18</f>
        <v>0</v>
      </c>
      <c r="P18" s="86"/>
      <c r="Q18" s="87"/>
      <c r="R18" s="55"/>
      <c r="S18" s="185"/>
    </row>
    <row r="19" spans="2:19" s="5" customFormat="1">
      <c r="B19" s="297"/>
      <c r="C19" s="826"/>
      <c r="D19" s="119" t="s">
        <v>6</v>
      </c>
      <c r="E19" s="467" t="s">
        <v>33</v>
      </c>
      <c r="F19" s="331">
        <f>E13</f>
        <v>801308.16000000003</v>
      </c>
      <c r="G19" s="275">
        <v>3</v>
      </c>
      <c r="H19" s="275">
        <f>+G19*F19</f>
        <v>2403924.48</v>
      </c>
      <c r="I19" s="332"/>
      <c r="J19" s="333"/>
      <c r="K19" s="71"/>
      <c r="L19" s="163"/>
      <c r="M19" s="49"/>
      <c r="N19" s="86"/>
      <c r="O19" s="112"/>
      <c r="P19" s="86">
        <f>SUM(H19)</f>
        <v>2403924.48</v>
      </c>
      <c r="Q19" s="87"/>
      <c r="R19" s="55"/>
      <c r="S19" s="185"/>
    </row>
    <row r="20" spans="2:19" s="5" customFormat="1">
      <c r="B20" s="297"/>
      <c r="C20" s="826"/>
      <c r="D20" s="119" t="s">
        <v>36</v>
      </c>
      <c r="E20" s="469" t="s">
        <v>21</v>
      </c>
      <c r="F20" s="335">
        <f>G14+G15+G19</f>
        <v>17</v>
      </c>
      <c r="G20" s="336" t="s">
        <v>37</v>
      </c>
      <c r="H20" s="275">
        <f>SUM(H14:H19)</f>
        <v>16274750.845090909</v>
      </c>
      <c r="I20" s="332"/>
      <c r="J20" s="333"/>
      <c r="K20" s="71"/>
      <c r="L20" s="163"/>
      <c r="M20" s="49"/>
      <c r="N20" s="114"/>
      <c r="O20" s="115"/>
      <c r="P20" s="112"/>
      <c r="Q20" s="87"/>
      <c r="R20" s="55"/>
      <c r="S20" s="185"/>
    </row>
    <row r="21" spans="2:19" s="5" customFormat="1">
      <c r="B21" s="297"/>
      <c r="C21" s="826"/>
      <c r="D21" s="131" t="s">
        <v>38</v>
      </c>
      <c r="E21" s="469" t="s">
        <v>21</v>
      </c>
      <c r="F21" s="331">
        <f>SUM(H14:H19)</f>
        <v>16274750.845090909</v>
      </c>
      <c r="G21" s="438">
        <v>8.3299999999999999E-2</v>
      </c>
      <c r="H21" s="275">
        <f>+G21*F21</f>
        <v>1355686.7453960727</v>
      </c>
      <c r="I21" s="338"/>
      <c r="J21" s="338"/>
      <c r="K21" s="71"/>
      <c r="L21" s="163"/>
      <c r="M21" s="49"/>
      <c r="N21" s="86"/>
      <c r="O21" s="117"/>
      <c r="P21" s="97">
        <f>H21</f>
        <v>1355686.7453960727</v>
      </c>
      <c r="Q21" s="105"/>
      <c r="R21" s="55"/>
      <c r="S21" s="185"/>
    </row>
    <row r="22" spans="2:19" s="5" customFormat="1">
      <c r="B22" s="297"/>
      <c r="C22" s="826"/>
      <c r="D22" s="131" t="s">
        <v>39</v>
      </c>
      <c r="E22" s="470">
        <f>F21/(5*F20)</f>
        <v>191467.65700106951</v>
      </c>
      <c r="F22" s="331">
        <f>E22*(F20*7)</f>
        <v>22784651.183127273</v>
      </c>
      <c r="G22" s="439">
        <v>20</v>
      </c>
      <c r="H22" s="275">
        <f>F22/G22</f>
        <v>1139232.5591563636</v>
      </c>
      <c r="I22" s="338"/>
      <c r="J22" s="338"/>
      <c r="K22" s="71">
        <f>SUM(G14:G22)</f>
        <v>45.083300000000001</v>
      </c>
      <c r="L22" s="163"/>
      <c r="M22" s="49"/>
      <c r="N22" s="86"/>
      <c r="O22" s="117"/>
      <c r="P22" s="97">
        <f>H22</f>
        <v>1139232.5591563636</v>
      </c>
      <c r="Q22" s="105"/>
      <c r="R22" s="55"/>
      <c r="S22" s="185"/>
    </row>
    <row r="23" spans="2:19" s="5" customFormat="1">
      <c r="B23" s="297"/>
      <c r="C23" s="826"/>
      <c r="D23" s="131" t="s">
        <v>354</v>
      </c>
      <c r="E23" s="470">
        <v>8.3333333333333329E-2</v>
      </c>
      <c r="F23" s="331">
        <f>H22</f>
        <v>1139232.5591563636</v>
      </c>
      <c r="G23" s="439">
        <v>1</v>
      </c>
      <c r="H23" s="275">
        <f>F23*E23</f>
        <v>94936.046596363623</v>
      </c>
      <c r="I23" s="340">
        <v>0</v>
      </c>
      <c r="J23" s="340">
        <f>SUM(H20:H23)</f>
        <v>18864606.196239706</v>
      </c>
      <c r="K23" s="71">
        <f>SUM(G15:G23)</f>
        <v>38.083300000000001</v>
      </c>
      <c r="L23" s="163"/>
      <c r="M23" s="49"/>
      <c r="N23" s="86"/>
      <c r="O23" s="117"/>
      <c r="P23" s="97">
        <f>H23</f>
        <v>94936.046596363623</v>
      </c>
      <c r="Q23" s="105"/>
      <c r="R23" s="55"/>
      <c r="S23" s="185"/>
    </row>
    <row r="24" spans="2:19" s="5" customFormat="1">
      <c r="B24" s="297"/>
      <c r="C24" s="826"/>
      <c r="D24" s="119"/>
      <c r="E24" s="471"/>
      <c r="F24" s="341"/>
      <c r="G24" s="440"/>
      <c r="H24" s="343"/>
      <c r="I24" s="333"/>
      <c r="J24" s="333"/>
      <c r="K24" s="71"/>
      <c r="L24" s="163"/>
      <c r="M24" s="49"/>
      <c r="N24" s="103"/>
      <c r="O24" s="104"/>
      <c r="P24" s="104"/>
      <c r="Q24" s="105"/>
      <c r="R24" s="55"/>
      <c r="S24" s="185"/>
    </row>
    <row r="25" spans="2:19" s="5" customFormat="1" ht="15" customHeight="1">
      <c r="B25" s="398">
        <v>2</v>
      </c>
      <c r="C25" s="1006">
        <v>2</v>
      </c>
      <c r="D25" s="122" t="s">
        <v>318</v>
      </c>
      <c r="E25" s="467">
        <f>'SICA a Marzo2026'!E6</f>
        <v>604155.24</v>
      </c>
      <c r="F25" s="111">
        <f>E25*C25</f>
        <v>1208310.48</v>
      </c>
      <c r="G25" s="344"/>
      <c r="H25" s="345"/>
      <c r="I25" s="346"/>
      <c r="J25" s="346"/>
      <c r="L25" s="163"/>
      <c r="M25" s="16"/>
      <c r="N25" s="103"/>
      <c r="O25" s="104"/>
      <c r="P25" s="104"/>
      <c r="Q25" s="105"/>
      <c r="R25" s="22"/>
      <c r="S25" s="185"/>
    </row>
    <row r="26" spans="2:19" s="5" customFormat="1">
      <c r="B26" s="297"/>
      <c r="C26" s="826"/>
      <c r="D26" s="119" t="s">
        <v>0</v>
      </c>
      <c r="E26" s="467" t="s">
        <v>33</v>
      </c>
      <c r="F26" s="111">
        <f>F25</f>
        <v>1208310.48</v>
      </c>
      <c r="G26" s="275">
        <f>F3</f>
        <v>7</v>
      </c>
      <c r="H26" s="275">
        <f>+G26*F26</f>
        <v>8458173.3599999994</v>
      </c>
      <c r="I26" s="333"/>
      <c r="J26" s="333"/>
      <c r="K26" s="71"/>
      <c r="L26" s="163"/>
      <c r="M26" s="49"/>
      <c r="N26" s="86">
        <f>H26</f>
        <v>8458173.3599999994</v>
      </c>
      <c r="O26" s="112"/>
      <c r="P26" s="86"/>
      <c r="Q26" s="87"/>
      <c r="R26" s="55"/>
      <c r="S26" s="185"/>
    </row>
    <row r="27" spans="2:19" s="5" customFormat="1">
      <c r="B27" s="297"/>
      <c r="C27" s="826"/>
      <c r="D27" s="119" t="s">
        <v>4</v>
      </c>
      <c r="E27" s="467" t="s">
        <v>33</v>
      </c>
      <c r="F27" s="111">
        <f>F25</f>
        <v>1208310.48</v>
      </c>
      <c r="G27" s="334">
        <f>$F$4</f>
        <v>6</v>
      </c>
      <c r="H27" s="275">
        <f>+G27*F27</f>
        <v>7249862.8799999999</v>
      </c>
      <c r="I27" s="333"/>
      <c r="J27" s="333"/>
      <c r="K27" s="71"/>
      <c r="L27" s="163"/>
      <c r="M27" s="49"/>
      <c r="N27" s="86"/>
      <c r="O27" s="112">
        <f>H27</f>
        <v>7249862.8799999999</v>
      </c>
      <c r="P27" s="86"/>
      <c r="Q27" s="87"/>
      <c r="R27" s="55"/>
      <c r="S27" s="185"/>
    </row>
    <row r="28" spans="2:19" s="5" customFormat="1">
      <c r="B28" s="297"/>
      <c r="C28" s="826"/>
      <c r="D28" s="119" t="s">
        <v>34</v>
      </c>
      <c r="E28" s="468">
        <f>$H$5+2</f>
        <v>13.25</v>
      </c>
      <c r="F28" s="331">
        <f>F25/44*1.5</f>
        <v>41192.402727272725</v>
      </c>
      <c r="G28" s="334">
        <f>$F$4</f>
        <v>6</v>
      </c>
      <c r="H28" s="275">
        <f>+G28*F28*E28</f>
        <v>3274796.0168181816</v>
      </c>
      <c r="I28" s="333"/>
      <c r="J28" s="333"/>
      <c r="K28" s="71"/>
      <c r="L28" s="163"/>
      <c r="M28" s="49"/>
      <c r="N28" s="86"/>
      <c r="O28" s="112">
        <f>H28</f>
        <v>3274796.0168181816</v>
      </c>
      <c r="P28" s="86"/>
      <c r="Q28" s="87"/>
      <c r="R28" s="55"/>
      <c r="S28" s="185"/>
    </row>
    <row r="29" spans="2:19" s="5" customFormat="1">
      <c r="B29" s="297"/>
      <c r="C29" s="826"/>
      <c r="D29" s="119" t="s">
        <v>1</v>
      </c>
      <c r="E29" s="469" t="s">
        <v>35</v>
      </c>
      <c r="F29" s="331">
        <f>F25/5*1.5</f>
        <v>362493.14399999997</v>
      </c>
      <c r="G29" s="275">
        <f>$H$3</f>
        <v>0</v>
      </c>
      <c r="H29" s="275">
        <f>+G29*F29</f>
        <v>0</v>
      </c>
      <c r="I29" s="333"/>
      <c r="J29" s="333"/>
      <c r="K29" s="71"/>
      <c r="L29" s="163"/>
      <c r="M29" s="49"/>
      <c r="N29" s="86"/>
      <c r="O29" s="112">
        <f>H29</f>
        <v>0</v>
      </c>
      <c r="P29" s="86"/>
      <c r="Q29" s="87"/>
      <c r="R29" s="55"/>
      <c r="S29" s="185"/>
    </row>
    <row r="30" spans="2:19" s="5" customFormat="1">
      <c r="B30" s="297"/>
      <c r="C30" s="826"/>
      <c r="D30" s="119" t="s">
        <v>5</v>
      </c>
      <c r="E30" s="469" t="s">
        <v>35</v>
      </c>
      <c r="F30" s="331">
        <f>F25/5*2</f>
        <v>483324.19199999998</v>
      </c>
      <c r="G30" s="275">
        <f>$H$4</f>
        <v>0</v>
      </c>
      <c r="H30" s="275">
        <f>+G30*F30</f>
        <v>0</v>
      </c>
      <c r="I30" s="333"/>
      <c r="J30" s="333"/>
      <c r="K30" s="71"/>
      <c r="L30" s="163"/>
      <c r="M30" s="49"/>
      <c r="N30" s="86"/>
      <c r="O30" s="112">
        <f>H30</f>
        <v>0</v>
      </c>
      <c r="P30" s="86"/>
      <c r="Q30" s="87"/>
      <c r="R30" s="55"/>
      <c r="S30" s="185"/>
    </row>
    <row r="31" spans="2:19" s="5" customFormat="1">
      <c r="B31" s="297"/>
      <c r="C31" s="826"/>
      <c r="D31" s="119" t="s">
        <v>6</v>
      </c>
      <c r="E31" s="467" t="s">
        <v>33</v>
      </c>
      <c r="F31" s="331">
        <f>F25</f>
        <v>1208310.48</v>
      </c>
      <c r="G31" s="275">
        <v>2</v>
      </c>
      <c r="H31" s="275">
        <f>+G31*F31</f>
        <v>2416620.96</v>
      </c>
      <c r="I31" s="333"/>
      <c r="J31" s="333"/>
      <c r="K31" s="71"/>
      <c r="L31" s="163"/>
      <c r="M31" s="49"/>
      <c r="N31" s="86"/>
      <c r="O31" s="112"/>
      <c r="P31" s="86">
        <f>SUM(H31)</f>
        <v>2416620.96</v>
      </c>
      <c r="Q31" s="87"/>
      <c r="R31" s="55"/>
      <c r="S31" s="185"/>
    </row>
    <row r="32" spans="2:19" s="5" customFormat="1">
      <c r="B32" s="297"/>
      <c r="C32" s="826"/>
      <c r="D32" s="119" t="s">
        <v>36</v>
      </c>
      <c r="E32" s="469" t="s">
        <v>21</v>
      </c>
      <c r="F32" s="335">
        <f>G26+G27+G31</f>
        <v>15</v>
      </c>
      <c r="G32" s="336" t="s">
        <v>37</v>
      </c>
      <c r="H32" s="275">
        <f>SUM(H26:H31)</f>
        <v>21399453.21681818</v>
      </c>
      <c r="I32" s="332"/>
      <c r="J32" s="333"/>
      <c r="K32" s="71"/>
      <c r="L32" s="163"/>
      <c r="M32" s="49"/>
      <c r="N32" s="114"/>
      <c r="O32" s="115"/>
      <c r="P32" s="112"/>
      <c r="Q32" s="87"/>
      <c r="R32" s="55"/>
      <c r="S32" s="185"/>
    </row>
    <row r="33" spans="2:19" s="5" customFormat="1">
      <c r="B33" s="297"/>
      <c r="C33" s="826"/>
      <c r="D33" s="131" t="s">
        <v>38</v>
      </c>
      <c r="E33" s="469" t="s">
        <v>21</v>
      </c>
      <c r="F33" s="331">
        <f>SUM(H26:H31)</f>
        <v>21399453.21681818</v>
      </c>
      <c r="G33" s="337">
        <f>$G$21</f>
        <v>8.3299999999999999E-2</v>
      </c>
      <c r="H33" s="275">
        <f>+G33*F33</f>
        <v>1782574.4529609543</v>
      </c>
      <c r="I33" s="338"/>
      <c r="J33" s="338"/>
      <c r="K33" s="71"/>
      <c r="L33" s="163"/>
      <c r="M33" s="49"/>
      <c r="N33" s="86"/>
      <c r="O33" s="117"/>
      <c r="P33" s="97">
        <f>H33</f>
        <v>1782574.4529609543</v>
      </c>
      <c r="Q33" s="105"/>
      <c r="R33" s="55"/>
      <c r="S33" s="185"/>
    </row>
    <row r="34" spans="2:19" s="5" customFormat="1">
      <c r="B34" s="297"/>
      <c r="C34" s="826"/>
      <c r="D34" s="131" t="s">
        <v>231</v>
      </c>
      <c r="E34" s="470">
        <f>F33/(5*F32)</f>
        <v>285326.04289090907</v>
      </c>
      <c r="F34" s="331">
        <f>E34*(F32*7)</f>
        <v>29959234.503545452</v>
      </c>
      <c r="G34" s="339">
        <f>$G$22</f>
        <v>20</v>
      </c>
      <c r="H34" s="275">
        <f>F34/G34</f>
        <v>1497961.7251772727</v>
      </c>
      <c r="I34" s="338"/>
      <c r="J34" s="338"/>
      <c r="K34" s="71">
        <f>SUM(G27:G34)</f>
        <v>34.083300000000001</v>
      </c>
      <c r="L34" s="163"/>
      <c r="M34" s="49"/>
      <c r="N34" s="86"/>
      <c r="O34" s="117"/>
      <c r="P34" s="97">
        <f>H34</f>
        <v>1497961.7251772727</v>
      </c>
      <c r="Q34" s="105"/>
      <c r="R34" s="55"/>
      <c r="S34" s="185"/>
    </row>
    <row r="35" spans="2:19" s="5" customFormat="1">
      <c r="B35" s="297"/>
      <c r="C35" s="826"/>
      <c r="D35" s="131" t="s">
        <v>354</v>
      </c>
      <c r="E35" s="470">
        <v>8.3333333333333329E-2</v>
      </c>
      <c r="F35" s="331">
        <f>H34</f>
        <v>1497961.7251772727</v>
      </c>
      <c r="G35" s="439">
        <v>1</v>
      </c>
      <c r="H35" s="275">
        <f>F35*E35</f>
        <v>124830.14376477271</v>
      </c>
      <c r="I35" s="340">
        <v>0</v>
      </c>
      <c r="J35" s="340">
        <f>SUM(H32:H35)</f>
        <v>24804819.538721178</v>
      </c>
      <c r="K35" s="71">
        <f>SUM(G27:G35)</f>
        <v>35.083300000000001</v>
      </c>
      <c r="L35" s="163"/>
      <c r="M35" s="49"/>
      <c r="N35" s="86"/>
      <c r="O35" s="117"/>
      <c r="P35" s="97">
        <f>H35</f>
        <v>124830.14376477271</v>
      </c>
      <c r="Q35" s="105"/>
      <c r="R35" s="55"/>
      <c r="S35" s="185"/>
    </row>
    <row r="36" spans="2:19" s="5" customFormat="1">
      <c r="B36" s="297"/>
      <c r="C36" s="826"/>
      <c r="D36" s="119"/>
      <c r="E36" s="471"/>
      <c r="F36" s="341"/>
      <c r="G36" s="342"/>
      <c r="H36" s="343"/>
      <c r="I36" s="333"/>
      <c r="J36" s="333"/>
      <c r="K36" s="71"/>
      <c r="L36" s="163"/>
      <c r="M36" s="49"/>
      <c r="N36" s="103"/>
      <c r="O36" s="104"/>
      <c r="P36" s="104"/>
      <c r="Q36" s="105"/>
      <c r="R36" s="55"/>
      <c r="S36" s="185"/>
    </row>
    <row r="37" spans="2:19" s="5" customFormat="1" ht="15" customHeight="1">
      <c r="B37" s="398">
        <v>3</v>
      </c>
      <c r="C37" s="1006">
        <v>1</v>
      </c>
      <c r="D37" s="122" t="s">
        <v>40</v>
      </c>
      <c r="E37" s="467">
        <f>'SICA a Marzo2026'!E7</f>
        <v>446644.8</v>
      </c>
      <c r="F37" s="341"/>
      <c r="G37" s="344"/>
      <c r="H37" s="345"/>
      <c r="I37" s="346"/>
      <c r="J37" s="346"/>
      <c r="L37" s="163"/>
      <c r="M37" s="16"/>
      <c r="N37" s="103"/>
      <c r="O37" s="104"/>
      <c r="P37" s="104"/>
      <c r="Q37" s="105"/>
      <c r="R37" s="22"/>
      <c r="S37" s="185"/>
    </row>
    <row r="38" spans="2:19" s="5" customFormat="1">
      <c r="B38" s="297"/>
      <c r="C38" s="826"/>
      <c r="D38" s="119" t="s">
        <v>0</v>
      </c>
      <c r="E38" s="467" t="s">
        <v>33</v>
      </c>
      <c r="F38" s="331">
        <f>E37</f>
        <v>446644.8</v>
      </c>
      <c r="G38" s="275">
        <v>5</v>
      </c>
      <c r="H38" s="275">
        <f>+G38*F38</f>
        <v>2233224</v>
      </c>
      <c r="I38" s="333"/>
      <c r="J38" s="333"/>
      <c r="K38" s="71"/>
      <c r="L38" s="163"/>
      <c r="M38" s="49"/>
      <c r="N38" s="86">
        <f>H38</f>
        <v>2233224</v>
      </c>
      <c r="O38" s="112"/>
      <c r="P38" s="86"/>
      <c r="Q38" s="87"/>
      <c r="R38" s="55"/>
      <c r="S38" s="185"/>
    </row>
    <row r="39" spans="2:19" s="5" customFormat="1">
      <c r="B39" s="297"/>
      <c r="C39" s="826"/>
      <c r="D39" s="119" t="s">
        <v>4</v>
      </c>
      <c r="E39" s="467" t="s">
        <v>33</v>
      </c>
      <c r="F39" s="331">
        <f>E37</f>
        <v>446644.8</v>
      </c>
      <c r="G39" s="334">
        <f>$F$4</f>
        <v>6</v>
      </c>
      <c r="H39" s="275">
        <f>+G39*F39</f>
        <v>2679868.7999999998</v>
      </c>
      <c r="I39" s="333"/>
      <c r="J39" s="333"/>
      <c r="K39" s="71"/>
      <c r="L39" s="163"/>
      <c r="M39" s="49"/>
      <c r="N39" s="86"/>
      <c r="O39" s="112">
        <f>H39</f>
        <v>2679868.7999999998</v>
      </c>
      <c r="P39" s="86"/>
      <c r="Q39" s="87"/>
      <c r="R39" s="55"/>
      <c r="S39" s="185"/>
    </row>
    <row r="40" spans="2:19" s="5" customFormat="1">
      <c r="B40" s="297"/>
      <c r="C40" s="826"/>
      <c r="D40" s="119" t="s">
        <v>34</v>
      </c>
      <c r="E40" s="468">
        <f>$H$5+2</f>
        <v>13.25</v>
      </c>
      <c r="F40" s="331">
        <f>E37/44*1.5</f>
        <v>15226.527272727271</v>
      </c>
      <c r="G40" s="334">
        <f>$F$4</f>
        <v>6</v>
      </c>
      <c r="H40" s="275">
        <f>+G40*F40*E40</f>
        <v>1210508.9181818182</v>
      </c>
      <c r="I40" s="333"/>
      <c r="J40" s="333"/>
      <c r="K40" s="71"/>
      <c r="L40" s="163"/>
      <c r="M40" s="49"/>
      <c r="N40" s="86"/>
      <c r="O40" s="112">
        <f>H40</f>
        <v>1210508.9181818182</v>
      </c>
      <c r="P40" s="86"/>
      <c r="Q40" s="87"/>
      <c r="R40" s="55"/>
      <c r="S40" s="185"/>
    </row>
    <row r="41" spans="2:19" s="5" customFormat="1">
      <c r="B41" s="297"/>
      <c r="C41" s="826"/>
      <c r="D41" s="119" t="s">
        <v>1</v>
      </c>
      <c r="E41" s="469" t="s">
        <v>35</v>
      </c>
      <c r="F41" s="331">
        <f>E37/5*1.5</f>
        <v>133993.44</v>
      </c>
      <c r="G41" s="275">
        <f>$H$3</f>
        <v>0</v>
      </c>
      <c r="H41" s="275">
        <f>+G41*F41</f>
        <v>0</v>
      </c>
      <c r="I41" s="333"/>
      <c r="J41" s="333"/>
      <c r="K41" s="71"/>
      <c r="L41" s="163"/>
      <c r="M41" s="49"/>
      <c r="N41" s="86"/>
      <c r="O41" s="112">
        <f>H41</f>
        <v>0</v>
      </c>
      <c r="P41" s="86"/>
      <c r="Q41" s="87"/>
      <c r="R41" s="55"/>
      <c r="S41" s="185"/>
    </row>
    <row r="42" spans="2:19" s="5" customFormat="1">
      <c r="B42" s="297"/>
      <c r="C42" s="826"/>
      <c r="D42" s="119" t="s">
        <v>5</v>
      </c>
      <c r="E42" s="469" t="s">
        <v>35</v>
      </c>
      <c r="F42" s="331">
        <f>E37/5*2</f>
        <v>178657.91999999998</v>
      </c>
      <c r="G42" s="275">
        <f>$H$4</f>
        <v>0</v>
      </c>
      <c r="H42" s="275">
        <f>+G42*F42</f>
        <v>0</v>
      </c>
      <c r="I42" s="333"/>
      <c r="J42" s="333"/>
      <c r="K42" s="71"/>
      <c r="L42" s="163"/>
      <c r="M42" s="49"/>
      <c r="N42" s="86"/>
      <c r="O42" s="112">
        <f>H42</f>
        <v>0</v>
      </c>
      <c r="P42" s="86"/>
      <c r="Q42" s="87"/>
      <c r="R42" s="55"/>
      <c r="S42" s="185"/>
    </row>
    <row r="43" spans="2:19" s="5" customFormat="1">
      <c r="B43" s="297"/>
      <c r="C43" s="826"/>
      <c r="D43" s="119" t="s">
        <v>6</v>
      </c>
      <c r="E43" s="467" t="s">
        <v>33</v>
      </c>
      <c r="F43" s="331">
        <f>E37</f>
        <v>446644.8</v>
      </c>
      <c r="G43" s="275">
        <v>1</v>
      </c>
      <c r="H43" s="275">
        <f>+G43*F43</f>
        <v>446644.8</v>
      </c>
      <c r="I43" s="333"/>
      <c r="J43" s="333"/>
      <c r="K43" s="71"/>
      <c r="L43" s="163"/>
      <c r="M43" s="49"/>
      <c r="N43" s="86"/>
      <c r="O43" s="112"/>
      <c r="P43" s="86">
        <f>SUM(H43)</f>
        <v>446644.8</v>
      </c>
      <c r="Q43" s="87"/>
      <c r="R43" s="55"/>
      <c r="S43" s="185"/>
    </row>
    <row r="44" spans="2:19" s="5" customFormat="1">
      <c r="B44" s="297"/>
      <c r="C44" s="826"/>
      <c r="D44" s="119" t="s">
        <v>36</v>
      </c>
      <c r="E44" s="469" t="s">
        <v>21</v>
      </c>
      <c r="F44" s="335">
        <f>G38+G39+G43</f>
        <v>12</v>
      </c>
      <c r="G44" s="336" t="s">
        <v>37</v>
      </c>
      <c r="H44" s="275">
        <f>SUM(H38:H43)</f>
        <v>6570246.5181818176</v>
      </c>
      <c r="I44" s="332"/>
      <c r="J44" s="333"/>
      <c r="K44" s="71"/>
      <c r="L44" s="163"/>
      <c r="M44" s="49"/>
      <c r="N44" s="114"/>
      <c r="O44" s="115"/>
      <c r="P44" s="112"/>
      <c r="Q44" s="87"/>
      <c r="R44" s="55"/>
      <c r="S44" s="185"/>
    </row>
    <row r="45" spans="2:19" s="5" customFormat="1">
      <c r="B45" s="297"/>
      <c r="C45" s="826"/>
      <c r="D45" s="131" t="s">
        <v>38</v>
      </c>
      <c r="E45" s="469" t="s">
        <v>21</v>
      </c>
      <c r="F45" s="331">
        <f>SUM(H38:H43)</f>
        <v>6570246.5181818176</v>
      </c>
      <c r="G45" s="337">
        <f>$G$21</f>
        <v>8.3299999999999999E-2</v>
      </c>
      <c r="H45" s="275">
        <f>+G45*F45</f>
        <v>547301.5349645454</v>
      </c>
      <c r="I45" s="338"/>
      <c r="J45" s="338"/>
      <c r="K45" s="71"/>
      <c r="L45" s="163"/>
      <c r="M45" s="49"/>
      <c r="N45" s="86"/>
      <c r="O45" s="117"/>
      <c r="P45" s="97">
        <f>H45</f>
        <v>547301.5349645454</v>
      </c>
      <c r="Q45" s="105"/>
      <c r="R45" s="55"/>
      <c r="S45" s="185"/>
    </row>
    <row r="46" spans="2:19" s="5" customFormat="1">
      <c r="B46" s="297"/>
      <c r="C46" s="826"/>
      <c r="D46" s="131" t="s">
        <v>39</v>
      </c>
      <c r="E46" s="470">
        <f>F45/(5*F44)</f>
        <v>109504.10863636363</v>
      </c>
      <c r="F46" s="331">
        <f>E46*(F44*7)</f>
        <v>9198345.125454545</v>
      </c>
      <c r="G46" s="339">
        <f>$G$22</f>
        <v>20</v>
      </c>
      <c r="H46" s="275">
        <f>F46/G46</f>
        <v>459917.25627272727</v>
      </c>
      <c r="I46" s="338"/>
      <c r="J46" s="338"/>
      <c r="K46" s="71">
        <f>SUM(G38:G46)</f>
        <v>38.083300000000001</v>
      </c>
      <c r="L46" s="163"/>
      <c r="M46" s="49"/>
      <c r="N46" s="86"/>
      <c r="O46" s="117"/>
      <c r="P46" s="97">
        <f>H46</f>
        <v>459917.25627272727</v>
      </c>
      <c r="Q46" s="105"/>
      <c r="R46" s="55"/>
      <c r="S46" s="185"/>
    </row>
    <row r="47" spans="2:19" s="5" customFormat="1">
      <c r="B47" s="297"/>
      <c r="C47" s="826"/>
      <c r="D47" s="131" t="s">
        <v>354</v>
      </c>
      <c r="E47" s="470">
        <v>8.3333333333333329E-2</v>
      </c>
      <c r="F47" s="331">
        <f>H46</f>
        <v>459917.25627272727</v>
      </c>
      <c r="G47" s="439">
        <v>1</v>
      </c>
      <c r="H47" s="275">
        <f>F47*E47</f>
        <v>38326.43802272727</v>
      </c>
      <c r="I47" s="340">
        <v>0</v>
      </c>
      <c r="J47" s="340">
        <f>SUM(H44:H47)</f>
        <v>7615791.747441818</v>
      </c>
      <c r="K47" s="71">
        <f>SUM(G39:G47)</f>
        <v>34.083300000000001</v>
      </c>
      <c r="L47" s="163"/>
      <c r="M47" s="49"/>
      <c r="N47" s="86"/>
      <c r="O47" s="117"/>
      <c r="P47" s="97">
        <f>H47</f>
        <v>38326.43802272727</v>
      </c>
      <c r="Q47" s="105"/>
      <c r="R47" s="55"/>
      <c r="S47" s="185"/>
    </row>
    <row r="48" spans="2:19" s="5" customFormat="1">
      <c r="B48" s="297"/>
      <c r="C48" s="826"/>
      <c r="D48" s="119"/>
      <c r="E48" s="471"/>
      <c r="F48" s="341"/>
      <c r="G48" s="342"/>
      <c r="H48" s="343"/>
      <c r="I48" s="333"/>
      <c r="J48" s="333"/>
      <c r="K48" s="71"/>
      <c r="L48" s="163"/>
      <c r="M48" s="49"/>
      <c r="N48" s="103"/>
      <c r="O48" s="104"/>
      <c r="P48" s="104"/>
      <c r="Q48" s="105"/>
      <c r="R48" s="55"/>
      <c r="S48" s="185"/>
    </row>
    <row r="49" spans="2:19" s="5" customFormat="1" ht="15" customHeight="1">
      <c r="B49" s="398">
        <v>4</v>
      </c>
      <c r="C49" s="1006">
        <v>1</v>
      </c>
      <c r="D49" s="122" t="s">
        <v>41</v>
      </c>
      <c r="E49" s="467">
        <f>'SICA a Marzo2026'!E8</f>
        <v>751107.6</v>
      </c>
      <c r="F49" s="341"/>
      <c r="G49" s="344"/>
      <c r="H49" s="345"/>
      <c r="I49" s="346"/>
      <c r="J49" s="346"/>
      <c r="L49" s="163"/>
      <c r="M49" s="16"/>
      <c r="N49" s="103"/>
      <c r="O49" s="104"/>
      <c r="P49" s="104"/>
      <c r="Q49" s="105"/>
      <c r="R49" s="22"/>
      <c r="S49" s="185"/>
    </row>
    <row r="50" spans="2:19" s="5" customFormat="1">
      <c r="B50" s="297"/>
      <c r="C50" s="826"/>
      <c r="D50" s="119" t="s">
        <v>0</v>
      </c>
      <c r="E50" s="467" t="s">
        <v>33</v>
      </c>
      <c r="F50" s="331">
        <f>E49</f>
        <v>751107.6</v>
      </c>
      <c r="G50" s="349">
        <v>10</v>
      </c>
      <c r="H50" s="275">
        <f>+G50*F50</f>
        <v>7511076</v>
      </c>
      <c r="I50" s="333"/>
      <c r="J50" s="333"/>
      <c r="K50" s="71"/>
      <c r="L50" s="163"/>
      <c r="M50" s="49"/>
      <c r="N50" s="86">
        <f>H50</f>
        <v>7511076</v>
      </c>
      <c r="O50" s="112"/>
      <c r="P50" s="86"/>
      <c r="Q50" s="87"/>
      <c r="R50" s="55"/>
      <c r="S50" s="185"/>
    </row>
    <row r="51" spans="2:19" s="5" customFormat="1">
      <c r="B51" s="297"/>
      <c r="C51" s="826"/>
      <c r="D51" s="119" t="s">
        <v>4</v>
      </c>
      <c r="E51" s="467" t="s">
        <v>33</v>
      </c>
      <c r="F51" s="331">
        <f>E49</f>
        <v>751107.6</v>
      </c>
      <c r="G51" s="334">
        <f>$F$4</f>
        <v>6</v>
      </c>
      <c r="H51" s="275">
        <f>+G51*F51</f>
        <v>4506645.5999999996</v>
      </c>
      <c r="I51" s="333"/>
      <c r="J51" s="333"/>
      <c r="K51" s="71"/>
      <c r="L51" s="163"/>
      <c r="M51" s="49"/>
      <c r="N51" s="86"/>
      <c r="O51" s="112">
        <f>H51</f>
        <v>4506645.5999999996</v>
      </c>
      <c r="P51" s="86"/>
      <c r="Q51" s="87"/>
      <c r="R51" s="55"/>
      <c r="S51" s="185"/>
    </row>
    <row r="52" spans="2:19" s="5" customFormat="1">
      <c r="B52" s="297"/>
      <c r="C52" s="826"/>
      <c r="D52" s="119" t="s">
        <v>34</v>
      </c>
      <c r="E52" s="468">
        <f>$H$5+2</f>
        <v>13.25</v>
      </c>
      <c r="F52" s="331">
        <f>E49/44*1.5</f>
        <v>25605.94090909091</v>
      </c>
      <c r="G52" s="334">
        <f>$F$4</f>
        <v>6</v>
      </c>
      <c r="H52" s="275">
        <f>+G52*F52*E52</f>
        <v>2035672.3022727272</v>
      </c>
      <c r="I52" s="333"/>
      <c r="J52" s="333"/>
      <c r="K52" s="71"/>
      <c r="L52" s="163"/>
      <c r="M52" s="49"/>
      <c r="N52" s="86"/>
      <c r="O52" s="112">
        <f>H52</f>
        <v>2035672.3022727272</v>
      </c>
      <c r="P52" s="86"/>
      <c r="Q52" s="87"/>
      <c r="R52" s="55"/>
      <c r="S52" s="185"/>
    </row>
    <row r="53" spans="2:19" s="5" customFormat="1">
      <c r="B53" s="297"/>
      <c r="C53" s="826"/>
      <c r="D53" s="119" t="s">
        <v>1</v>
      </c>
      <c r="E53" s="469" t="s">
        <v>35</v>
      </c>
      <c r="F53" s="331">
        <f>E49/5*1.5</f>
        <v>225332.27999999997</v>
      </c>
      <c r="G53" s="275">
        <f>$H$3</f>
        <v>0</v>
      </c>
      <c r="H53" s="275">
        <f>+G53*F53</f>
        <v>0</v>
      </c>
      <c r="I53" s="333"/>
      <c r="J53" s="333"/>
      <c r="K53" s="71"/>
      <c r="L53" s="163"/>
      <c r="M53" s="49"/>
      <c r="N53" s="86"/>
      <c r="O53" s="112">
        <f>H53</f>
        <v>0</v>
      </c>
      <c r="P53" s="86"/>
      <c r="Q53" s="87"/>
      <c r="R53" s="55"/>
      <c r="S53" s="185"/>
    </row>
    <row r="54" spans="2:19" s="5" customFormat="1">
      <c r="B54" s="297"/>
      <c r="C54" s="826"/>
      <c r="D54" s="119" t="s">
        <v>5</v>
      </c>
      <c r="E54" s="469" t="s">
        <v>35</v>
      </c>
      <c r="F54" s="331">
        <f>E49/5*2</f>
        <v>300443.03999999998</v>
      </c>
      <c r="G54" s="275">
        <f>$H$4</f>
        <v>0</v>
      </c>
      <c r="H54" s="275">
        <f>+G54*F54</f>
        <v>0</v>
      </c>
      <c r="I54" s="333"/>
      <c r="J54" s="333"/>
      <c r="K54" s="71"/>
      <c r="L54" s="163"/>
      <c r="M54" s="49"/>
      <c r="N54" s="86"/>
      <c r="O54" s="112">
        <f>H54</f>
        <v>0</v>
      </c>
      <c r="P54" s="86"/>
      <c r="Q54" s="87"/>
      <c r="R54" s="55"/>
      <c r="S54" s="185"/>
    </row>
    <row r="55" spans="2:19" s="5" customFormat="1">
      <c r="B55" s="297"/>
      <c r="C55" s="826"/>
      <c r="D55" s="119" t="s">
        <v>6</v>
      </c>
      <c r="E55" s="467" t="s">
        <v>33</v>
      </c>
      <c r="F55" s="331">
        <f>E49</f>
        <v>751107.6</v>
      </c>
      <c r="G55" s="275">
        <v>1</v>
      </c>
      <c r="H55" s="275">
        <f>+G55*F55</f>
        <v>751107.6</v>
      </c>
      <c r="I55" s="333"/>
      <c r="J55" s="333"/>
      <c r="K55" s="71"/>
      <c r="L55" s="163"/>
      <c r="M55" s="49"/>
      <c r="N55" s="86"/>
      <c r="O55" s="112"/>
      <c r="P55" s="86">
        <f>SUM(H55)</f>
        <v>751107.6</v>
      </c>
      <c r="Q55" s="87"/>
      <c r="R55" s="55"/>
      <c r="S55" s="185"/>
    </row>
    <row r="56" spans="2:19" s="5" customFormat="1">
      <c r="B56" s="297"/>
      <c r="C56" s="826"/>
      <c r="D56" s="119" t="s">
        <v>36</v>
      </c>
      <c r="E56" s="469" t="s">
        <v>21</v>
      </c>
      <c r="F56" s="335">
        <f>G50+G51+G55</f>
        <v>17</v>
      </c>
      <c r="G56" s="336" t="s">
        <v>37</v>
      </c>
      <c r="H56" s="275">
        <f>SUM(H50:H55)</f>
        <v>14804501.502272727</v>
      </c>
      <c r="I56" s="332"/>
      <c r="J56" s="333"/>
      <c r="K56" s="71"/>
      <c r="L56" s="163"/>
      <c r="M56" s="49"/>
      <c r="N56" s="114"/>
      <c r="O56" s="115"/>
      <c r="P56" s="112"/>
      <c r="Q56" s="87"/>
      <c r="R56" s="55"/>
      <c r="S56" s="185"/>
    </row>
    <row r="57" spans="2:19" s="5" customFormat="1">
      <c r="B57" s="297"/>
      <c r="C57" s="826"/>
      <c r="D57" s="131" t="s">
        <v>38</v>
      </c>
      <c r="E57" s="469" t="s">
        <v>21</v>
      </c>
      <c r="F57" s="331">
        <f>SUM(H50:H55)</f>
        <v>14804501.502272727</v>
      </c>
      <c r="G57" s="337">
        <f>$G$21</f>
        <v>8.3299999999999999E-2</v>
      </c>
      <c r="H57" s="275">
        <f>+G57*F57</f>
        <v>1233214.975139318</v>
      </c>
      <c r="I57" s="338"/>
      <c r="J57" s="338"/>
      <c r="K57" s="71"/>
      <c r="L57" s="163"/>
      <c r="M57" s="49"/>
      <c r="N57" s="86"/>
      <c r="O57" s="117"/>
      <c r="P57" s="97">
        <f>H57</f>
        <v>1233214.975139318</v>
      </c>
      <c r="Q57" s="105"/>
      <c r="R57" s="55"/>
      <c r="S57" s="185"/>
    </row>
    <row r="58" spans="2:19" s="5" customFormat="1">
      <c r="B58" s="297"/>
      <c r="C58" s="826"/>
      <c r="D58" s="131" t="s">
        <v>39</v>
      </c>
      <c r="E58" s="470">
        <f>F57/(5*F56)</f>
        <v>174170.6059090909</v>
      </c>
      <c r="F58" s="331">
        <f>E58*(F56*7)</f>
        <v>20726302.103181817</v>
      </c>
      <c r="G58" s="339">
        <f>$G$22</f>
        <v>20</v>
      </c>
      <c r="H58" s="275">
        <f>F58/G58</f>
        <v>1036315.1051590908</v>
      </c>
      <c r="I58" s="338"/>
      <c r="J58" s="338"/>
      <c r="K58" s="71">
        <f>SUM(G50:G58)</f>
        <v>43.083300000000001</v>
      </c>
      <c r="L58" s="163"/>
      <c r="M58" s="49"/>
      <c r="N58" s="86"/>
      <c r="O58" s="117"/>
      <c r="P58" s="97">
        <f>H58</f>
        <v>1036315.1051590908</v>
      </c>
      <c r="Q58" s="105"/>
      <c r="R58" s="55"/>
      <c r="S58" s="185"/>
    </row>
    <row r="59" spans="2:19" s="5" customFormat="1">
      <c r="B59" s="297"/>
      <c r="C59" s="826"/>
      <c r="D59" s="131" t="s">
        <v>354</v>
      </c>
      <c r="E59" s="470">
        <v>8.3333333333333329E-2</v>
      </c>
      <c r="F59" s="331">
        <f>H58</f>
        <v>1036315.1051590908</v>
      </c>
      <c r="G59" s="439">
        <v>1</v>
      </c>
      <c r="H59" s="275">
        <f>F59*E59</f>
        <v>86359.592096590903</v>
      </c>
      <c r="I59" s="340">
        <v>0</v>
      </c>
      <c r="J59" s="340">
        <f>SUM(H56:H59)</f>
        <v>17160391.174667723</v>
      </c>
      <c r="K59" s="71">
        <f>SUM(G51:G59)</f>
        <v>34.083300000000001</v>
      </c>
      <c r="L59" s="163"/>
      <c r="M59" s="49"/>
      <c r="N59" s="86"/>
      <c r="O59" s="117"/>
      <c r="P59" s="97">
        <f>H59</f>
        <v>86359.592096590903</v>
      </c>
      <c r="Q59" s="105"/>
      <c r="R59" s="55"/>
      <c r="S59" s="185"/>
    </row>
    <row r="60" spans="2:19" s="5" customFormat="1">
      <c r="B60" s="297"/>
      <c r="C60" s="826"/>
      <c r="D60" s="119"/>
      <c r="E60" s="471"/>
      <c r="F60" s="341"/>
      <c r="G60" s="342"/>
      <c r="H60" s="343"/>
      <c r="I60" s="333"/>
      <c r="J60" s="333"/>
      <c r="K60" s="71"/>
      <c r="L60" s="163"/>
      <c r="M60" s="49"/>
      <c r="N60" s="103"/>
      <c r="O60" s="104"/>
      <c r="P60" s="104"/>
      <c r="Q60" s="105"/>
      <c r="R60" s="55"/>
      <c r="S60" s="185"/>
    </row>
    <row r="61" spans="2:19" s="5" customFormat="1" ht="15" customHeight="1">
      <c r="B61" s="398">
        <v>5</v>
      </c>
      <c r="C61" s="1006">
        <v>1</v>
      </c>
      <c r="D61" s="122" t="s">
        <v>42</v>
      </c>
      <c r="E61" s="467">
        <f>'SICA a Marzo2026'!E9</f>
        <v>551815.19999999995</v>
      </c>
      <c r="F61" s="341"/>
      <c r="G61" s="344"/>
      <c r="H61" s="345"/>
      <c r="I61" s="346"/>
      <c r="J61" s="346"/>
      <c r="L61" s="163"/>
      <c r="M61" s="16"/>
      <c r="N61" s="103"/>
      <c r="O61" s="104"/>
      <c r="P61" s="104"/>
      <c r="Q61" s="105"/>
      <c r="R61" s="22"/>
      <c r="S61" s="185"/>
    </row>
    <row r="62" spans="2:19" s="5" customFormat="1">
      <c r="B62" s="297"/>
      <c r="C62" s="826"/>
      <c r="D62" s="119" t="s">
        <v>0</v>
      </c>
      <c r="E62" s="467" t="s">
        <v>33</v>
      </c>
      <c r="F62" s="331">
        <f>E61</f>
        <v>551815.19999999995</v>
      </c>
      <c r="G62" s="275">
        <f>F3</f>
        <v>7</v>
      </c>
      <c r="H62" s="275">
        <f>+G62*F62</f>
        <v>3862706.3999999994</v>
      </c>
      <c r="I62" s="333"/>
      <c r="J62" s="333"/>
      <c r="K62" s="71"/>
      <c r="L62" s="163"/>
      <c r="M62" s="49"/>
      <c r="N62" s="86">
        <f>H62</f>
        <v>3862706.3999999994</v>
      </c>
      <c r="O62" s="112"/>
      <c r="P62" s="86"/>
      <c r="Q62" s="87"/>
      <c r="R62" s="55"/>
      <c r="S62" s="185"/>
    </row>
    <row r="63" spans="2:19" s="5" customFormat="1">
      <c r="B63" s="297"/>
      <c r="C63" s="826"/>
      <c r="D63" s="119" t="s">
        <v>4</v>
      </c>
      <c r="E63" s="467" t="s">
        <v>33</v>
      </c>
      <c r="F63" s="331">
        <f>E61</f>
        <v>551815.19999999995</v>
      </c>
      <c r="G63" s="334">
        <f>$F$4</f>
        <v>6</v>
      </c>
      <c r="H63" s="275">
        <f>+G63*F63</f>
        <v>3310891.1999999997</v>
      </c>
      <c r="I63" s="333"/>
      <c r="J63" s="333"/>
      <c r="K63" s="71"/>
      <c r="L63" s="163"/>
      <c r="M63" s="49"/>
      <c r="N63" s="86"/>
      <c r="O63" s="112">
        <f>H63</f>
        <v>3310891.1999999997</v>
      </c>
      <c r="P63" s="86"/>
      <c r="Q63" s="87"/>
      <c r="R63" s="55"/>
      <c r="S63" s="185"/>
    </row>
    <row r="64" spans="2:19" s="5" customFormat="1">
      <c r="B64" s="297"/>
      <c r="C64" s="826"/>
      <c r="D64" s="119" t="s">
        <v>34</v>
      </c>
      <c r="E64" s="468">
        <f>$H$5+2</f>
        <v>13.25</v>
      </c>
      <c r="F64" s="331">
        <f>E61/44*1.5</f>
        <v>18811.881818181817</v>
      </c>
      <c r="G64" s="334">
        <f>$F$4</f>
        <v>6</v>
      </c>
      <c r="H64" s="275">
        <f>+G64*F64*E64</f>
        <v>1495544.6045454543</v>
      </c>
      <c r="I64" s="333"/>
      <c r="J64" s="333"/>
      <c r="K64" s="71"/>
      <c r="L64" s="163"/>
      <c r="M64" s="49"/>
      <c r="N64" s="86"/>
      <c r="O64" s="112">
        <f>H64</f>
        <v>1495544.6045454543</v>
      </c>
      <c r="P64" s="86"/>
      <c r="Q64" s="87"/>
      <c r="R64" s="55"/>
      <c r="S64" s="185"/>
    </row>
    <row r="65" spans="2:19" s="5" customFormat="1">
      <c r="B65" s="297"/>
      <c r="C65" s="826"/>
      <c r="D65" s="119" t="s">
        <v>1</v>
      </c>
      <c r="E65" s="469" t="s">
        <v>35</v>
      </c>
      <c r="F65" s="331">
        <f>E61/5*1.5</f>
        <v>165544.56</v>
      </c>
      <c r="G65" s="275">
        <f>$H$3</f>
        <v>0</v>
      </c>
      <c r="H65" s="275">
        <f>+G65*F65</f>
        <v>0</v>
      </c>
      <c r="I65" s="333"/>
      <c r="J65" s="333"/>
      <c r="K65" s="71"/>
      <c r="L65" s="163"/>
      <c r="M65" s="49"/>
      <c r="N65" s="86"/>
      <c r="O65" s="112">
        <f>H65</f>
        <v>0</v>
      </c>
      <c r="P65" s="86"/>
      <c r="Q65" s="87"/>
      <c r="R65" s="55"/>
      <c r="S65" s="185"/>
    </row>
    <row r="66" spans="2:19" s="5" customFormat="1">
      <c r="B66" s="297"/>
      <c r="C66" s="826"/>
      <c r="D66" s="119" t="s">
        <v>5</v>
      </c>
      <c r="E66" s="469" t="s">
        <v>35</v>
      </c>
      <c r="F66" s="331">
        <f>E61/5*2</f>
        <v>220726.08</v>
      </c>
      <c r="G66" s="275">
        <f>$H$4</f>
        <v>0</v>
      </c>
      <c r="H66" s="275">
        <f>+G66*F66</f>
        <v>0</v>
      </c>
      <c r="I66" s="333"/>
      <c r="J66" s="333"/>
      <c r="K66" s="71"/>
      <c r="L66" s="163"/>
      <c r="M66" s="49"/>
      <c r="N66" s="86"/>
      <c r="O66" s="112">
        <f>H66</f>
        <v>0</v>
      </c>
      <c r="P66" s="86"/>
      <c r="Q66" s="87"/>
      <c r="R66" s="55"/>
      <c r="S66" s="185"/>
    </row>
    <row r="67" spans="2:19" s="5" customFormat="1">
      <c r="B67" s="297"/>
      <c r="C67" s="826"/>
      <c r="D67" s="119" t="s">
        <v>6</v>
      </c>
      <c r="E67" s="467" t="s">
        <v>33</v>
      </c>
      <c r="F67" s="331">
        <f>E61</f>
        <v>551815.19999999995</v>
      </c>
      <c r="G67" s="275">
        <f>$H$4</f>
        <v>0</v>
      </c>
      <c r="H67" s="275">
        <f>+G67*F67</f>
        <v>0</v>
      </c>
      <c r="I67" s="333"/>
      <c r="J67" s="333"/>
      <c r="K67" s="71"/>
      <c r="L67" s="163"/>
      <c r="M67" s="49"/>
      <c r="N67" s="86"/>
      <c r="O67" s="112"/>
      <c r="P67" s="86">
        <f>SUM(H67)</f>
        <v>0</v>
      </c>
      <c r="Q67" s="87"/>
      <c r="R67" s="55"/>
      <c r="S67" s="185"/>
    </row>
    <row r="68" spans="2:19" s="5" customFormat="1">
      <c r="B68" s="297"/>
      <c r="C68" s="826"/>
      <c r="D68" s="119" t="s">
        <v>36</v>
      </c>
      <c r="E68" s="469" t="s">
        <v>21</v>
      </c>
      <c r="F68" s="335">
        <f>G62+G63+G67</f>
        <v>13</v>
      </c>
      <c r="G68" s="336" t="s">
        <v>37</v>
      </c>
      <c r="H68" s="275">
        <f>SUM(H62:H67)</f>
        <v>8669142.2045454532</v>
      </c>
      <c r="I68" s="332"/>
      <c r="J68" s="333"/>
      <c r="K68" s="71"/>
      <c r="L68" s="163"/>
      <c r="M68" s="49"/>
      <c r="N68" s="114"/>
      <c r="O68" s="115"/>
      <c r="P68" s="112"/>
      <c r="Q68" s="87"/>
      <c r="R68" s="55"/>
      <c r="S68" s="185"/>
    </row>
    <row r="69" spans="2:19" s="5" customFormat="1">
      <c r="B69" s="297"/>
      <c r="C69" s="826"/>
      <c r="D69" s="131" t="s">
        <v>38</v>
      </c>
      <c r="E69" s="469" t="s">
        <v>21</v>
      </c>
      <c r="F69" s="331">
        <f>SUM(H62:H67)</f>
        <v>8669142.2045454532</v>
      </c>
      <c r="G69" s="337">
        <f>$G$21</f>
        <v>8.3299999999999999E-2</v>
      </c>
      <c r="H69" s="275">
        <f>+G69*F69</f>
        <v>722139.54563863622</v>
      </c>
      <c r="I69" s="338"/>
      <c r="J69" s="338"/>
      <c r="K69" s="71"/>
      <c r="L69" s="163"/>
      <c r="M69" s="49"/>
      <c r="N69" s="86"/>
      <c r="O69" s="117"/>
      <c r="P69" s="97">
        <f>H69</f>
        <v>722139.54563863622</v>
      </c>
      <c r="Q69" s="105"/>
      <c r="R69" s="55"/>
      <c r="S69" s="185"/>
    </row>
    <row r="70" spans="2:19" s="5" customFormat="1">
      <c r="B70" s="297"/>
      <c r="C70" s="826"/>
      <c r="D70" s="131" t="s">
        <v>39</v>
      </c>
      <c r="E70" s="470">
        <f>F69/(5*F68)</f>
        <v>133371.41853146852</v>
      </c>
      <c r="F70" s="331">
        <f>E70*(F68*7)</f>
        <v>12136799.086363634</v>
      </c>
      <c r="G70" s="339">
        <f>$G$22</f>
        <v>20</v>
      </c>
      <c r="H70" s="275">
        <f>F70/G70</f>
        <v>606839.95431818173</v>
      </c>
      <c r="I70" s="340"/>
      <c r="J70" s="340"/>
      <c r="K70" s="71">
        <f>SUM(G62:G70)</f>
        <v>39.083300000000001</v>
      </c>
      <c r="L70" s="163"/>
      <c r="M70" s="49"/>
      <c r="N70" s="86"/>
      <c r="O70" s="117"/>
      <c r="P70" s="97">
        <f>H70</f>
        <v>606839.95431818173</v>
      </c>
      <c r="Q70" s="105"/>
      <c r="R70" s="55"/>
      <c r="S70" s="185"/>
    </row>
    <row r="71" spans="2:19" s="5" customFormat="1">
      <c r="B71" s="297"/>
      <c r="C71" s="826"/>
      <c r="D71" s="131" t="s">
        <v>354</v>
      </c>
      <c r="E71" s="470">
        <v>8.3333333333333329E-2</v>
      </c>
      <c r="F71" s="331">
        <f>H70</f>
        <v>606839.95431818173</v>
      </c>
      <c r="G71" s="439">
        <v>1</v>
      </c>
      <c r="H71" s="275">
        <f>F71*E71</f>
        <v>50569.996193181811</v>
      </c>
      <c r="I71" s="340">
        <v>0</v>
      </c>
      <c r="J71" s="340">
        <f>SUM(H68:H71)</f>
        <v>10048691.700695453</v>
      </c>
      <c r="K71" s="71">
        <f>SUM(G63:G71)</f>
        <v>33.083300000000001</v>
      </c>
      <c r="L71" s="163"/>
      <c r="M71" s="49"/>
      <c r="N71" s="86"/>
      <c r="O71" s="117"/>
      <c r="P71" s="97">
        <f>H71</f>
        <v>50569.996193181811</v>
      </c>
      <c r="Q71" s="105"/>
      <c r="R71" s="55"/>
      <c r="S71" s="185"/>
    </row>
    <row r="72" spans="2:19" s="5" customFormat="1">
      <c r="B72" s="297"/>
      <c r="C72" s="826"/>
      <c r="D72" s="119"/>
      <c r="E72" s="471"/>
      <c r="F72" s="341"/>
      <c r="G72" s="342"/>
      <c r="H72" s="343"/>
      <c r="I72" s="333"/>
      <c r="J72" s="333"/>
      <c r="K72" s="71"/>
      <c r="L72" s="163"/>
      <c r="M72" s="49"/>
      <c r="N72" s="103"/>
      <c r="O72" s="104"/>
      <c r="P72" s="104"/>
      <c r="Q72" s="105"/>
      <c r="R72" s="55"/>
      <c r="S72" s="185"/>
    </row>
    <row r="73" spans="2:19" s="5" customFormat="1" ht="15" customHeight="1">
      <c r="B73" s="398">
        <v>6</v>
      </c>
      <c r="C73" s="1006">
        <v>1</v>
      </c>
      <c r="D73" s="122" t="s">
        <v>43</v>
      </c>
      <c r="E73" s="467">
        <f>'SICA a Marzo2026'!E10</f>
        <v>801308.16000000003</v>
      </c>
      <c r="F73" s="341"/>
      <c r="G73" s="344"/>
      <c r="H73" s="345"/>
      <c r="I73" s="346"/>
      <c r="J73" s="346"/>
      <c r="L73" s="163"/>
      <c r="M73" s="16"/>
      <c r="N73" s="103"/>
      <c r="O73" s="104"/>
      <c r="P73" s="104"/>
      <c r="Q73" s="105"/>
      <c r="R73" s="22"/>
      <c r="S73" s="185"/>
    </row>
    <row r="74" spans="2:19" s="5" customFormat="1">
      <c r="B74" s="297"/>
      <c r="C74" s="826"/>
      <c r="D74" s="119" t="s">
        <v>0</v>
      </c>
      <c r="E74" s="467" t="s">
        <v>33</v>
      </c>
      <c r="F74" s="331">
        <f>E73</f>
        <v>801308.16000000003</v>
      </c>
      <c r="G74" s="349">
        <v>8</v>
      </c>
      <c r="H74" s="275">
        <f>+G74*F74</f>
        <v>6410465.2800000003</v>
      </c>
      <c r="I74" s="333"/>
      <c r="J74" s="333"/>
      <c r="K74" s="71"/>
      <c r="L74" s="163"/>
      <c r="M74" s="49"/>
      <c r="N74" s="86">
        <f>H74</f>
        <v>6410465.2800000003</v>
      </c>
      <c r="O74" s="112"/>
      <c r="P74" s="86"/>
      <c r="Q74" s="87"/>
      <c r="R74" s="55"/>
      <c r="S74" s="185"/>
    </row>
    <row r="75" spans="2:19" s="5" customFormat="1">
      <c r="B75" s="294"/>
      <c r="C75" s="826"/>
      <c r="D75" s="119" t="s">
        <v>4</v>
      </c>
      <c r="E75" s="467" t="s">
        <v>33</v>
      </c>
      <c r="F75" s="331">
        <f>E73</f>
        <v>801308.16000000003</v>
      </c>
      <c r="G75" s="275">
        <f>$F$4</f>
        <v>6</v>
      </c>
      <c r="H75" s="275">
        <f>+G75*F75</f>
        <v>4807848.96</v>
      </c>
      <c r="I75" s="333"/>
      <c r="J75" s="333"/>
      <c r="K75" s="71"/>
      <c r="L75" s="163"/>
      <c r="M75" s="49"/>
      <c r="N75" s="86"/>
      <c r="O75" s="112">
        <f>H75</f>
        <v>4807848.96</v>
      </c>
      <c r="P75" s="86"/>
      <c r="Q75" s="87"/>
      <c r="R75" s="55"/>
      <c r="S75" s="185"/>
    </row>
    <row r="76" spans="2:19" s="5" customFormat="1">
      <c r="B76" s="294"/>
      <c r="C76" s="826"/>
      <c r="D76" s="119" t="s">
        <v>34</v>
      </c>
      <c r="E76" s="468">
        <f>$H$5</f>
        <v>11.25</v>
      </c>
      <c r="F76" s="331">
        <f>E73/44*1.5</f>
        <v>27317.323636363639</v>
      </c>
      <c r="G76" s="334">
        <f>$F$4</f>
        <v>6</v>
      </c>
      <c r="H76" s="275">
        <f>+G76*F76*E76</f>
        <v>1843919.3454545457</v>
      </c>
      <c r="I76" s="333"/>
      <c r="J76" s="333"/>
      <c r="K76" s="71"/>
      <c r="L76" s="163"/>
      <c r="M76" s="49"/>
      <c r="N76" s="86"/>
      <c r="O76" s="112">
        <f>H76</f>
        <v>1843919.3454545457</v>
      </c>
      <c r="P76" s="86"/>
      <c r="Q76" s="87"/>
      <c r="R76" s="55"/>
      <c r="S76" s="185"/>
    </row>
    <row r="77" spans="2:19" s="5" customFormat="1">
      <c r="B77" s="294"/>
      <c r="C77" s="826"/>
      <c r="D77" s="119" t="s">
        <v>1</v>
      </c>
      <c r="E77" s="469" t="s">
        <v>35</v>
      </c>
      <c r="F77" s="331">
        <f>E73/5*1.5</f>
        <v>240392.44800000003</v>
      </c>
      <c r="G77" s="275">
        <f>$H$3</f>
        <v>0</v>
      </c>
      <c r="H77" s="275">
        <f>+G77*F77</f>
        <v>0</v>
      </c>
      <c r="I77" s="333"/>
      <c r="J77" s="333"/>
      <c r="K77" s="71"/>
      <c r="L77" s="163"/>
      <c r="M77" s="49"/>
      <c r="N77" s="86"/>
      <c r="O77" s="112">
        <f>H77</f>
        <v>0</v>
      </c>
      <c r="P77" s="86"/>
      <c r="Q77" s="87"/>
      <c r="R77" s="55"/>
      <c r="S77" s="185"/>
    </row>
    <row r="78" spans="2:19" s="5" customFormat="1">
      <c r="B78" s="294"/>
      <c r="C78" s="826"/>
      <c r="D78" s="119" t="s">
        <v>5</v>
      </c>
      <c r="E78" s="469" t="s">
        <v>35</v>
      </c>
      <c r="F78" s="331">
        <f>E73/5*2</f>
        <v>320523.26400000002</v>
      </c>
      <c r="G78" s="275">
        <f>$H$4</f>
        <v>0</v>
      </c>
      <c r="H78" s="275">
        <f>+G78*F78</f>
        <v>0</v>
      </c>
      <c r="I78" s="333"/>
      <c r="J78" s="333"/>
      <c r="K78" s="71"/>
      <c r="L78" s="163"/>
      <c r="M78" s="49"/>
      <c r="N78" s="86"/>
      <c r="O78" s="112">
        <f>H78</f>
        <v>0</v>
      </c>
      <c r="P78" s="86"/>
      <c r="Q78" s="87"/>
      <c r="R78" s="55"/>
      <c r="S78" s="185"/>
    </row>
    <row r="79" spans="2:19" s="5" customFormat="1">
      <c r="B79" s="294"/>
      <c r="C79" s="826"/>
      <c r="D79" s="119" t="s">
        <v>6</v>
      </c>
      <c r="E79" s="467" t="s">
        <v>33</v>
      </c>
      <c r="F79" s="331">
        <f>E73</f>
        <v>801308.16000000003</v>
      </c>
      <c r="G79" s="275">
        <f>$F$5-$F$5</f>
        <v>0</v>
      </c>
      <c r="H79" s="275">
        <f>+G79*F79</f>
        <v>0</v>
      </c>
      <c r="I79" s="333"/>
      <c r="J79" s="333"/>
      <c r="K79" s="71"/>
      <c r="L79" s="163"/>
      <c r="M79" s="49"/>
      <c r="N79" s="86"/>
      <c r="O79" s="112"/>
      <c r="P79" s="86">
        <f>SUM(H79)</f>
        <v>0</v>
      </c>
      <c r="Q79" s="87"/>
      <c r="R79" s="55"/>
      <c r="S79" s="185"/>
    </row>
    <row r="80" spans="2:19" s="5" customFormat="1">
      <c r="B80" s="294"/>
      <c r="C80" s="826"/>
      <c r="D80" s="119" t="s">
        <v>36</v>
      </c>
      <c r="E80" s="469" t="s">
        <v>21</v>
      </c>
      <c r="F80" s="335">
        <f>G74+G75+G79</f>
        <v>14</v>
      </c>
      <c r="G80" s="336" t="s">
        <v>37</v>
      </c>
      <c r="H80" s="275">
        <f>SUM(H74:H79)</f>
        <v>13062233.585454546</v>
      </c>
      <c r="I80" s="332"/>
      <c r="J80" s="333"/>
      <c r="K80" s="71"/>
      <c r="L80" s="163"/>
      <c r="M80" s="49"/>
      <c r="N80" s="114"/>
      <c r="O80" s="115"/>
      <c r="P80" s="112"/>
      <c r="Q80" s="87"/>
      <c r="R80" s="55"/>
      <c r="S80" s="185"/>
    </row>
    <row r="81" spans="2:19" s="5" customFormat="1">
      <c r="B81" s="294"/>
      <c r="C81" s="826"/>
      <c r="D81" s="131" t="s">
        <v>38</v>
      </c>
      <c r="E81" s="469" t="s">
        <v>21</v>
      </c>
      <c r="F81" s="331">
        <f>SUM(H74:H79)</f>
        <v>13062233.585454546</v>
      </c>
      <c r="G81" s="337">
        <f>$G$21</f>
        <v>8.3299999999999999E-2</v>
      </c>
      <c r="H81" s="275">
        <f>+G81*F81</f>
        <v>1088084.0576683637</v>
      </c>
      <c r="I81" s="338"/>
      <c r="J81" s="338"/>
      <c r="K81" s="71"/>
      <c r="L81" s="163"/>
      <c r="M81" s="49"/>
      <c r="N81" s="86"/>
      <c r="O81" s="117"/>
      <c r="P81" s="97">
        <f>H81</f>
        <v>1088084.0576683637</v>
      </c>
      <c r="Q81" s="105"/>
      <c r="R81" s="55"/>
      <c r="S81" s="185"/>
    </row>
    <row r="82" spans="2:19" s="5" customFormat="1">
      <c r="B82" s="294"/>
      <c r="C82" s="826"/>
      <c r="D82" s="131" t="s">
        <v>39</v>
      </c>
      <c r="E82" s="470">
        <f>F81/(5*F80)</f>
        <v>186603.33693506493</v>
      </c>
      <c r="F82" s="331">
        <f>E82*(F80*7)</f>
        <v>18287127.019636363</v>
      </c>
      <c r="G82" s="339">
        <f>$G$22</f>
        <v>20</v>
      </c>
      <c r="H82" s="275">
        <f>F82/G82</f>
        <v>914356.35098181816</v>
      </c>
      <c r="I82" s="340">
        <v>0</v>
      </c>
      <c r="J82" s="340"/>
      <c r="K82" s="71">
        <f>SUM(G74:G82)</f>
        <v>40.083300000000001</v>
      </c>
      <c r="L82" s="163"/>
      <c r="M82" s="49"/>
      <c r="N82" s="86"/>
      <c r="O82" s="117"/>
      <c r="P82" s="97">
        <f>H82</f>
        <v>914356.35098181816</v>
      </c>
      <c r="Q82" s="105"/>
      <c r="R82" s="55"/>
      <c r="S82" s="185"/>
    </row>
    <row r="83" spans="2:19" s="5" customFormat="1">
      <c r="B83" s="297"/>
      <c r="C83" s="826"/>
      <c r="D83" s="131" t="s">
        <v>354</v>
      </c>
      <c r="E83" s="470">
        <v>8.3333333333333329E-2</v>
      </c>
      <c r="F83" s="331">
        <f>H82</f>
        <v>914356.35098181816</v>
      </c>
      <c r="G83" s="439">
        <v>1</v>
      </c>
      <c r="H83" s="275">
        <f>F83*E83</f>
        <v>76196.362581818175</v>
      </c>
      <c r="I83" s="340">
        <v>0</v>
      </c>
      <c r="J83" s="340">
        <f>SUM(H80:H83)</f>
        <v>15140870.356686546</v>
      </c>
      <c r="K83" s="71">
        <f>SUM(G75:G83)</f>
        <v>33.083300000000001</v>
      </c>
      <c r="L83" s="163"/>
      <c r="M83" s="49"/>
      <c r="N83" s="86"/>
      <c r="O83" s="117"/>
      <c r="P83" s="97">
        <f>H83</f>
        <v>76196.362581818175</v>
      </c>
      <c r="Q83" s="105"/>
      <c r="R83" s="55"/>
      <c r="S83" s="185"/>
    </row>
    <row r="84" spans="2:19" s="5" customFormat="1">
      <c r="B84" s="294"/>
      <c r="C84" s="826"/>
      <c r="D84" s="119"/>
      <c r="E84" s="471"/>
      <c r="F84" s="341"/>
      <c r="G84" s="342"/>
      <c r="H84" s="343"/>
      <c r="I84" s="333"/>
      <c r="J84" s="333"/>
      <c r="K84" s="71"/>
      <c r="L84" s="163"/>
      <c r="M84" s="49"/>
      <c r="N84" s="103"/>
      <c r="O84" s="104"/>
      <c r="P84" s="104"/>
      <c r="Q84" s="105"/>
      <c r="R84" s="55"/>
      <c r="S84" s="185"/>
    </row>
    <row r="85" spans="2:19" s="5" customFormat="1" ht="15" customHeight="1">
      <c r="B85" s="398">
        <v>7</v>
      </c>
      <c r="C85" s="1006">
        <v>1</v>
      </c>
      <c r="D85" s="122" t="s">
        <v>44</v>
      </c>
      <c r="E85" s="467">
        <f>'SICA a Marzo2026'!E12</f>
        <v>604155.24</v>
      </c>
      <c r="F85" s="341"/>
      <c r="G85" s="344"/>
      <c r="H85" s="345"/>
      <c r="I85" s="346"/>
      <c r="J85" s="346"/>
      <c r="L85" s="163"/>
      <c r="M85" s="16"/>
      <c r="N85" s="103"/>
      <c r="O85" s="104"/>
      <c r="P85" s="104"/>
      <c r="Q85" s="105"/>
      <c r="R85" s="22"/>
      <c r="S85" s="185"/>
    </row>
    <row r="86" spans="2:19" s="5" customFormat="1">
      <c r="B86" s="294"/>
      <c r="C86" s="826"/>
      <c r="D86" s="119" t="s">
        <v>0</v>
      </c>
      <c r="E86" s="467" t="s">
        <v>33</v>
      </c>
      <c r="F86" s="331">
        <f>E85</f>
        <v>604155.24</v>
      </c>
      <c r="G86" s="275">
        <v>3</v>
      </c>
      <c r="H86" s="275">
        <f>+G86*F86</f>
        <v>1812465.72</v>
      </c>
      <c r="I86" s="333"/>
      <c r="J86" s="333"/>
      <c r="K86" s="71"/>
      <c r="L86" s="163"/>
      <c r="M86" s="49"/>
      <c r="N86" s="86">
        <f>H86</f>
        <v>1812465.72</v>
      </c>
      <c r="O86" s="112"/>
      <c r="P86" s="86"/>
      <c r="Q86" s="87"/>
      <c r="R86" s="55"/>
      <c r="S86" s="185"/>
    </row>
    <row r="87" spans="2:19" s="5" customFormat="1">
      <c r="B87" s="294"/>
      <c r="C87" s="826"/>
      <c r="D87" s="119" t="s">
        <v>4</v>
      </c>
      <c r="E87" s="467" t="s">
        <v>33</v>
      </c>
      <c r="F87" s="331">
        <f>E85</f>
        <v>604155.24</v>
      </c>
      <c r="G87" s="275">
        <f>$F$4</f>
        <v>6</v>
      </c>
      <c r="H87" s="275">
        <f>+G87*F87</f>
        <v>3624931.44</v>
      </c>
      <c r="I87" s="333"/>
      <c r="J87" s="333"/>
      <c r="K87" s="71"/>
      <c r="L87" s="163"/>
      <c r="M87" s="49"/>
      <c r="N87" s="86"/>
      <c r="O87" s="112">
        <f>H87</f>
        <v>3624931.44</v>
      </c>
      <c r="P87" s="86"/>
      <c r="Q87" s="87"/>
      <c r="R87" s="55"/>
      <c r="S87" s="185"/>
    </row>
    <row r="88" spans="2:19" s="5" customFormat="1">
      <c r="B88" s="294"/>
      <c r="C88" s="826"/>
      <c r="D88" s="119" t="s">
        <v>34</v>
      </c>
      <c r="E88" s="468">
        <f>$H$5</f>
        <v>11.25</v>
      </c>
      <c r="F88" s="331">
        <f>E85/44*1.5</f>
        <v>20596.201363636363</v>
      </c>
      <c r="G88" s="334">
        <f>$F$4</f>
        <v>6</v>
      </c>
      <c r="H88" s="275">
        <f>+G88*F88*E88</f>
        <v>1390243.5920454545</v>
      </c>
      <c r="I88" s="333"/>
      <c r="J88" s="333"/>
      <c r="K88" s="71"/>
      <c r="L88" s="163"/>
      <c r="M88" s="49"/>
      <c r="N88" s="86"/>
      <c r="O88" s="112">
        <f>H88</f>
        <v>1390243.5920454545</v>
      </c>
      <c r="P88" s="86"/>
      <c r="Q88" s="87"/>
      <c r="R88" s="55"/>
      <c r="S88" s="185"/>
    </row>
    <row r="89" spans="2:19" s="5" customFormat="1">
      <c r="B89" s="294"/>
      <c r="C89" s="826"/>
      <c r="D89" s="119" t="s">
        <v>1</v>
      </c>
      <c r="E89" s="469" t="s">
        <v>35</v>
      </c>
      <c r="F89" s="331">
        <f>E85/5*1.5</f>
        <v>181246.57199999999</v>
      </c>
      <c r="G89" s="275">
        <f>$H$3</f>
        <v>0</v>
      </c>
      <c r="H89" s="275">
        <f>+G89*F89</f>
        <v>0</v>
      </c>
      <c r="I89" s="333"/>
      <c r="J89" s="333"/>
      <c r="K89" s="71"/>
      <c r="L89" s="163"/>
      <c r="M89" s="49"/>
      <c r="N89" s="86"/>
      <c r="O89" s="112">
        <f>H89</f>
        <v>0</v>
      </c>
      <c r="P89" s="86"/>
      <c r="Q89" s="87"/>
      <c r="R89" s="55"/>
      <c r="S89" s="185"/>
    </row>
    <row r="90" spans="2:19" s="5" customFormat="1">
      <c r="B90" s="294"/>
      <c r="C90" s="826"/>
      <c r="D90" s="119" t="s">
        <v>5</v>
      </c>
      <c r="E90" s="469" t="s">
        <v>35</v>
      </c>
      <c r="F90" s="331">
        <f>E85/5*2</f>
        <v>241662.09599999999</v>
      </c>
      <c r="G90" s="275">
        <f>$H$4</f>
        <v>0</v>
      </c>
      <c r="H90" s="275">
        <f>+G90*F90</f>
        <v>0</v>
      </c>
      <c r="I90" s="333"/>
      <c r="J90" s="333"/>
      <c r="K90" s="71"/>
      <c r="L90" s="163"/>
      <c r="M90" s="49"/>
      <c r="N90" s="86"/>
      <c r="O90" s="112">
        <f>H90</f>
        <v>0</v>
      </c>
      <c r="P90" s="86"/>
      <c r="Q90" s="87"/>
      <c r="R90" s="55"/>
      <c r="S90" s="185"/>
    </row>
    <row r="91" spans="2:19" s="5" customFormat="1">
      <c r="B91" s="294"/>
      <c r="C91" s="826"/>
      <c r="D91" s="119" t="s">
        <v>6</v>
      </c>
      <c r="E91" s="467" t="s">
        <v>33</v>
      </c>
      <c r="F91" s="331">
        <f>E85</f>
        <v>604155.24</v>
      </c>
      <c r="G91" s="275">
        <f>$F$5-$F$5</f>
        <v>0</v>
      </c>
      <c r="H91" s="275">
        <f>+G91*F91</f>
        <v>0</v>
      </c>
      <c r="I91" s="333"/>
      <c r="J91" s="333"/>
      <c r="K91" s="71"/>
      <c r="L91" s="163"/>
      <c r="M91" s="49"/>
      <c r="N91" s="86"/>
      <c r="O91" s="112"/>
      <c r="P91" s="86">
        <f>SUM(H91)</f>
        <v>0</v>
      </c>
      <c r="Q91" s="87"/>
      <c r="R91" s="55"/>
      <c r="S91" s="185"/>
    </row>
    <row r="92" spans="2:19" s="5" customFormat="1">
      <c r="B92" s="294"/>
      <c r="C92" s="826"/>
      <c r="D92" s="119" t="s">
        <v>36</v>
      </c>
      <c r="E92" s="469" t="s">
        <v>21</v>
      </c>
      <c r="F92" s="335">
        <f>G86+G87+G91</f>
        <v>9</v>
      </c>
      <c r="G92" s="336" t="s">
        <v>37</v>
      </c>
      <c r="H92" s="275">
        <f>SUM(H86:H91)</f>
        <v>6827640.7520454545</v>
      </c>
      <c r="I92" s="332"/>
      <c r="J92" s="333"/>
      <c r="K92" s="71"/>
      <c r="L92" s="163"/>
      <c r="M92" s="49"/>
      <c r="N92" s="114"/>
      <c r="O92" s="115"/>
      <c r="P92" s="112"/>
      <c r="Q92" s="87"/>
      <c r="R92" s="55"/>
      <c r="S92" s="185"/>
    </row>
    <row r="93" spans="2:19" s="5" customFormat="1">
      <c r="B93" s="294"/>
      <c r="C93" s="826"/>
      <c r="D93" s="131" t="s">
        <v>38</v>
      </c>
      <c r="E93" s="469" t="s">
        <v>21</v>
      </c>
      <c r="F93" s="331">
        <f>SUM(H86:H91)</f>
        <v>6827640.7520454545</v>
      </c>
      <c r="G93" s="337">
        <f>$G$21</f>
        <v>8.3299999999999999E-2</v>
      </c>
      <c r="H93" s="275">
        <f>+G93*F93</f>
        <v>568742.47464538633</v>
      </c>
      <c r="I93" s="338"/>
      <c r="J93" s="338"/>
      <c r="K93" s="71"/>
      <c r="L93" s="163"/>
      <c r="M93" s="49"/>
      <c r="N93" s="86"/>
      <c r="O93" s="117"/>
      <c r="P93" s="97">
        <f>H93</f>
        <v>568742.47464538633</v>
      </c>
      <c r="Q93" s="105"/>
      <c r="R93" s="55"/>
      <c r="S93" s="185"/>
    </row>
    <row r="94" spans="2:19" s="5" customFormat="1">
      <c r="B94" s="294"/>
      <c r="C94" s="826"/>
      <c r="D94" s="131" t="s">
        <v>39</v>
      </c>
      <c r="E94" s="470">
        <f>F93/(5*F92)</f>
        <v>151725.35004545454</v>
      </c>
      <c r="F94" s="331">
        <f>E94*(F92*7)</f>
        <v>9558697.052863637</v>
      </c>
      <c r="G94" s="339">
        <f>$G$22</f>
        <v>20</v>
      </c>
      <c r="H94" s="275">
        <f>F94/G94</f>
        <v>477934.85264318186</v>
      </c>
      <c r="I94" s="340">
        <v>0</v>
      </c>
      <c r="J94" s="340"/>
      <c r="K94" s="71">
        <f>SUM(G86:G94)</f>
        <v>35.083300000000001</v>
      </c>
      <c r="L94" s="163"/>
      <c r="M94" s="49"/>
      <c r="N94" s="86"/>
      <c r="O94" s="117"/>
      <c r="P94" s="97">
        <f>H94</f>
        <v>477934.85264318186</v>
      </c>
      <c r="Q94" s="105"/>
      <c r="R94" s="55"/>
      <c r="S94" s="185"/>
    </row>
    <row r="95" spans="2:19" s="5" customFormat="1">
      <c r="B95" s="297"/>
      <c r="C95" s="826"/>
      <c r="D95" s="131" t="s">
        <v>354</v>
      </c>
      <c r="E95" s="470">
        <v>8.3333333333333329E-2</v>
      </c>
      <c r="F95" s="331">
        <f>H94</f>
        <v>477934.85264318186</v>
      </c>
      <c r="G95" s="439">
        <v>1</v>
      </c>
      <c r="H95" s="275">
        <f>F95*E95</f>
        <v>39827.904386931819</v>
      </c>
      <c r="I95" s="340">
        <v>0</v>
      </c>
      <c r="J95" s="340">
        <f>SUM(H92:H95)</f>
        <v>7914145.9837209545</v>
      </c>
      <c r="K95" s="71">
        <f>SUM(G87:G95)</f>
        <v>33.083300000000001</v>
      </c>
      <c r="L95" s="163"/>
      <c r="M95" s="49"/>
      <c r="N95" s="86"/>
      <c r="O95" s="117"/>
      <c r="P95" s="97">
        <f>H95</f>
        <v>39827.904386931819</v>
      </c>
      <c r="Q95" s="105"/>
      <c r="R95" s="55"/>
      <c r="S95" s="185"/>
    </row>
    <row r="96" spans="2:19" s="5" customFormat="1">
      <c r="B96" s="294"/>
      <c r="C96" s="826"/>
      <c r="D96" s="119"/>
      <c r="E96" s="472"/>
      <c r="F96" s="341"/>
      <c r="G96" s="342"/>
      <c r="H96" s="343"/>
      <c r="I96" s="333"/>
      <c r="J96" s="333"/>
      <c r="K96" s="71"/>
      <c r="L96" s="163"/>
      <c r="M96" s="49"/>
      <c r="N96" s="103"/>
      <c r="O96" s="104"/>
      <c r="P96" s="104"/>
      <c r="Q96" s="105"/>
      <c r="R96" s="55"/>
      <c r="S96" s="185"/>
    </row>
    <row r="97" spans="2:19" s="5" customFormat="1" ht="15" customHeight="1">
      <c r="B97" s="400" t="s">
        <v>321</v>
      </c>
      <c r="C97" s="1006">
        <v>2</v>
      </c>
      <c r="D97" s="182" t="s">
        <v>320</v>
      </c>
      <c r="E97" s="467">
        <f>'SICA a Marzo2026'!E13</f>
        <v>446644.8</v>
      </c>
      <c r="F97" s="111">
        <f>E97*C97</f>
        <v>893289.6</v>
      </c>
      <c r="G97" s="344"/>
      <c r="H97" s="345"/>
      <c r="I97" s="346"/>
      <c r="J97" s="346"/>
      <c r="L97" s="163"/>
      <c r="M97" s="16"/>
      <c r="N97" s="103"/>
      <c r="O97" s="104"/>
      <c r="P97" s="104"/>
      <c r="Q97" s="105"/>
      <c r="R97" s="22"/>
      <c r="S97" s="185"/>
    </row>
    <row r="98" spans="2:19" s="5" customFormat="1">
      <c r="B98" s="294"/>
      <c r="C98" s="826"/>
      <c r="D98" s="119" t="s">
        <v>0</v>
      </c>
      <c r="E98" s="467" t="s">
        <v>33</v>
      </c>
      <c r="F98" s="111">
        <f>F97</f>
        <v>893289.6</v>
      </c>
      <c r="G98" s="275">
        <v>6</v>
      </c>
      <c r="H98" s="275">
        <f t="shared" ref="H98:H103" si="0">F98*G98</f>
        <v>5359737.5999999996</v>
      </c>
      <c r="I98" s="333"/>
      <c r="J98" s="333"/>
      <c r="K98" s="71"/>
      <c r="L98" s="163"/>
      <c r="M98" s="49"/>
      <c r="N98" s="86">
        <f>H98</f>
        <v>5359737.5999999996</v>
      </c>
      <c r="O98" s="112"/>
      <c r="P98" s="86"/>
      <c r="Q98" s="87"/>
      <c r="R98" s="55"/>
      <c r="S98" s="185"/>
    </row>
    <row r="99" spans="2:19" s="5" customFormat="1">
      <c r="B99" s="294"/>
      <c r="C99" s="826"/>
      <c r="D99" s="119" t="s">
        <v>4</v>
      </c>
      <c r="E99" s="467" t="s">
        <v>33</v>
      </c>
      <c r="F99" s="111">
        <f>F97</f>
        <v>893289.6</v>
      </c>
      <c r="G99" s="275">
        <f>$F$4</f>
        <v>6</v>
      </c>
      <c r="H99" s="275">
        <f t="shared" si="0"/>
        <v>5359737.5999999996</v>
      </c>
      <c r="I99" s="333"/>
      <c r="J99" s="333"/>
      <c r="K99" s="71"/>
      <c r="L99" s="163"/>
      <c r="M99" s="49"/>
      <c r="N99" s="86"/>
      <c r="O99" s="112">
        <f>H99</f>
        <v>5359737.5999999996</v>
      </c>
      <c r="P99" s="86"/>
      <c r="Q99" s="87"/>
      <c r="R99" s="55"/>
      <c r="S99" s="185"/>
    </row>
    <row r="100" spans="2:19" s="5" customFormat="1">
      <c r="B100" s="294"/>
      <c r="C100" s="826"/>
      <c r="D100" s="119" t="s">
        <v>34</v>
      </c>
      <c r="E100" s="468">
        <f>$H$5</f>
        <v>11.25</v>
      </c>
      <c r="F100" s="331">
        <f>F97/44*1.5</f>
        <v>30453.054545454543</v>
      </c>
      <c r="G100" s="334">
        <f>$F$4</f>
        <v>6</v>
      </c>
      <c r="H100" s="275">
        <f t="shared" si="0"/>
        <v>182718.32727272727</v>
      </c>
      <c r="I100" s="333"/>
      <c r="J100" s="333"/>
      <c r="K100" s="71"/>
      <c r="L100" s="163"/>
      <c r="M100" s="49"/>
      <c r="N100" s="86"/>
      <c r="O100" s="112">
        <f>H100</f>
        <v>182718.32727272727</v>
      </c>
      <c r="P100" s="86"/>
      <c r="Q100" s="87"/>
      <c r="R100" s="55"/>
      <c r="S100" s="185"/>
    </row>
    <row r="101" spans="2:19" s="5" customFormat="1">
      <c r="B101" s="294"/>
      <c r="C101" s="826"/>
      <c r="D101" s="119" t="s">
        <v>1</v>
      </c>
      <c r="E101" s="469" t="s">
        <v>35</v>
      </c>
      <c r="F101" s="331">
        <f>F97/5*1.5</f>
        <v>267986.88</v>
      </c>
      <c r="G101" s="275">
        <f>$H$3</f>
        <v>0</v>
      </c>
      <c r="H101" s="275">
        <f t="shared" si="0"/>
        <v>0</v>
      </c>
      <c r="I101" s="333"/>
      <c r="J101" s="333"/>
      <c r="K101" s="71"/>
      <c r="L101" s="163"/>
      <c r="M101" s="49"/>
      <c r="N101" s="86"/>
      <c r="O101" s="112">
        <f>H101</f>
        <v>0</v>
      </c>
      <c r="P101" s="86"/>
      <c r="Q101" s="87"/>
      <c r="R101" s="55"/>
      <c r="S101" s="185"/>
    </row>
    <row r="102" spans="2:19" s="5" customFormat="1">
      <c r="B102" s="294"/>
      <c r="C102" s="826"/>
      <c r="D102" s="119" t="s">
        <v>5</v>
      </c>
      <c r="E102" s="469" t="s">
        <v>35</v>
      </c>
      <c r="F102" s="331">
        <f>F97/5*2</f>
        <v>357315.83999999997</v>
      </c>
      <c r="G102" s="275">
        <f>$H$4</f>
        <v>0</v>
      </c>
      <c r="H102" s="275">
        <f t="shared" si="0"/>
        <v>0</v>
      </c>
      <c r="I102" s="333"/>
      <c r="J102" s="333"/>
      <c r="K102" s="71"/>
      <c r="L102" s="163"/>
      <c r="M102" s="49"/>
      <c r="N102" s="86"/>
      <c r="O102" s="112">
        <f>H102</f>
        <v>0</v>
      </c>
      <c r="P102" s="86"/>
      <c r="Q102" s="87"/>
      <c r="R102" s="55"/>
      <c r="S102" s="185"/>
    </row>
    <row r="103" spans="2:19" s="5" customFormat="1">
      <c r="B103" s="294"/>
      <c r="C103" s="826"/>
      <c r="D103" s="119" t="s">
        <v>6</v>
      </c>
      <c r="E103" s="467" t="s">
        <v>33</v>
      </c>
      <c r="F103" s="331">
        <f>F97</f>
        <v>893289.6</v>
      </c>
      <c r="G103" s="275">
        <f>$F$5-$F$5</f>
        <v>0</v>
      </c>
      <c r="H103" s="275">
        <f t="shared" si="0"/>
        <v>0</v>
      </c>
      <c r="I103" s="333"/>
      <c r="J103" s="333"/>
      <c r="K103" s="71"/>
      <c r="L103" s="163"/>
      <c r="M103" s="49"/>
      <c r="N103" s="86"/>
      <c r="O103" s="112"/>
      <c r="P103" s="86">
        <f>H103</f>
        <v>0</v>
      </c>
      <c r="Q103" s="87"/>
      <c r="R103" s="55"/>
      <c r="S103" s="185"/>
    </row>
    <row r="104" spans="2:19" s="5" customFormat="1">
      <c r="B104" s="294"/>
      <c r="C104" s="826"/>
      <c r="D104" s="119" t="s">
        <v>36</v>
      </c>
      <c r="E104" s="469" t="s">
        <v>21</v>
      </c>
      <c r="F104" s="335">
        <f>G98+G99+G103</f>
        <v>12</v>
      </c>
      <c r="G104" s="336" t="s">
        <v>37</v>
      </c>
      <c r="H104" s="275">
        <f>SUM(H98:H103)</f>
        <v>10902193.527272727</v>
      </c>
      <c r="I104" s="332"/>
      <c r="J104" s="333"/>
      <c r="K104" s="71"/>
      <c r="L104" s="163"/>
      <c r="M104" s="49"/>
      <c r="N104" s="114"/>
      <c r="O104" s="115"/>
      <c r="P104" s="112"/>
      <c r="Q104" s="87"/>
      <c r="R104" s="55"/>
      <c r="S104" s="185"/>
    </row>
    <row r="105" spans="2:19" s="5" customFormat="1">
      <c r="B105" s="294"/>
      <c r="C105" s="826"/>
      <c r="D105" s="131" t="s">
        <v>38</v>
      </c>
      <c r="E105" s="469" t="s">
        <v>21</v>
      </c>
      <c r="F105" s="331">
        <f>SUM(H98:H103)</f>
        <v>10902193.527272727</v>
      </c>
      <c r="G105" s="337">
        <f>$G$21</f>
        <v>8.3299999999999999E-2</v>
      </c>
      <c r="H105" s="275">
        <f>+G105*F105</f>
        <v>908152.72082181822</v>
      </c>
      <c r="I105" s="338"/>
      <c r="J105" s="338"/>
      <c r="K105" s="71"/>
      <c r="L105" s="163"/>
      <c r="M105" s="49"/>
      <c r="N105" s="86"/>
      <c r="O105" s="117"/>
      <c r="P105" s="97">
        <f>H105</f>
        <v>908152.72082181822</v>
      </c>
      <c r="Q105" s="105"/>
      <c r="R105" s="55"/>
      <c r="S105" s="185"/>
    </row>
    <row r="106" spans="2:19" s="5" customFormat="1">
      <c r="B106" s="294"/>
      <c r="C106" s="826"/>
      <c r="D106" s="131" t="s">
        <v>39</v>
      </c>
      <c r="E106" s="470">
        <f>F105/(5*F104)</f>
        <v>181703.22545454546</v>
      </c>
      <c r="F106" s="331">
        <f>E106*(F104*7)</f>
        <v>15263070.938181819</v>
      </c>
      <c r="G106" s="339">
        <f>$G$22</f>
        <v>20</v>
      </c>
      <c r="H106" s="275">
        <f>F106/G106</f>
        <v>763153.54690909095</v>
      </c>
      <c r="I106" s="340">
        <v>0</v>
      </c>
      <c r="J106" s="340"/>
      <c r="K106" s="71">
        <f>SUM(G98:G106)</f>
        <v>38.083300000000001</v>
      </c>
      <c r="L106" s="163"/>
      <c r="M106" s="49"/>
      <c r="N106" s="86"/>
      <c r="O106" s="117"/>
      <c r="P106" s="97">
        <f>H106</f>
        <v>763153.54690909095</v>
      </c>
      <c r="Q106" s="105"/>
      <c r="R106" s="55"/>
      <c r="S106" s="185"/>
    </row>
    <row r="107" spans="2:19" s="5" customFormat="1">
      <c r="B107" s="297"/>
      <c r="C107" s="826"/>
      <c r="D107" s="131" t="s">
        <v>354</v>
      </c>
      <c r="E107" s="470">
        <v>8.3333333333333329E-2</v>
      </c>
      <c r="F107" s="331">
        <f>H106</f>
        <v>763153.54690909095</v>
      </c>
      <c r="G107" s="439">
        <v>1</v>
      </c>
      <c r="H107" s="275">
        <f>F107*E107</f>
        <v>63596.128909090912</v>
      </c>
      <c r="I107" s="340">
        <v>0</v>
      </c>
      <c r="J107" s="340">
        <f>SUM(H104:H107)</f>
        <v>12637095.923912726</v>
      </c>
      <c r="K107" s="71">
        <f>SUM(G99:G107)</f>
        <v>33.083300000000001</v>
      </c>
      <c r="L107" s="163"/>
      <c r="M107" s="49"/>
      <c r="N107" s="86"/>
      <c r="O107" s="117"/>
      <c r="P107" s="97">
        <f>H107</f>
        <v>63596.128909090912</v>
      </c>
      <c r="Q107" s="105"/>
      <c r="R107" s="55"/>
      <c r="S107" s="185"/>
    </row>
    <row r="108" spans="2:19" s="5" customFormat="1">
      <c r="B108" s="294"/>
      <c r="C108" s="826"/>
      <c r="D108" s="119"/>
      <c r="E108" s="472"/>
      <c r="F108" s="341"/>
      <c r="G108" s="342"/>
      <c r="H108" s="343"/>
      <c r="I108" s="333"/>
      <c r="J108" s="333"/>
      <c r="K108" s="71"/>
      <c r="L108" s="163"/>
      <c r="M108" s="49"/>
      <c r="N108" s="103"/>
      <c r="O108" s="104"/>
      <c r="P108" s="104"/>
      <c r="Q108" s="105"/>
      <c r="R108" s="55"/>
      <c r="S108" s="185"/>
    </row>
    <row r="109" spans="2:19" s="5" customFormat="1" ht="15" customHeight="1">
      <c r="B109" s="398">
        <v>10</v>
      </c>
      <c r="C109" s="1006">
        <v>1</v>
      </c>
      <c r="D109" s="122" t="s">
        <v>45</v>
      </c>
      <c r="E109" s="467">
        <f>'SICA a Marzo2026'!E14</f>
        <v>801308.16000000003</v>
      </c>
      <c r="F109" s="341"/>
      <c r="G109" s="344"/>
      <c r="H109" s="345"/>
      <c r="I109" s="346"/>
      <c r="J109" s="346"/>
      <c r="L109" s="163"/>
      <c r="M109" s="16"/>
      <c r="N109" s="103"/>
      <c r="O109" s="104"/>
      <c r="P109" s="104"/>
      <c r="Q109" s="105"/>
      <c r="R109" s="22"/>
      <c r="S109" s="185"/>
    </row>
    <row r="110" spans="2:19" s="5" customFormat="1">
      <c r="B110" s="294"/>
      <c r="C110" s="826"/>
      <c r="D110" s="119" t="s">
        <v>0</v>
      </c>
      <c r="E110" s="467" t="s">
        <v>33</v>
      </c>
      <c r="F110" s="331">
        <f>E109</f>
        <v>801308.16000000003</v>
      </c>
      <c r="G110" s="275">
        <v>10</v>
      </c>
      <c r="H110" s="275">
        <f t="shared" ref="H110:H115" si="1">F110*G110</f>
        <v>8013081.6000000006</v>
      </c>
      <c r="I110" s="333"/>
      <c r="J110" s="333"/>
      <c r="K110" s="71"/>
      <c r="L110" s="163"/>
      <c r="M110" s="49"/>
      <c r="N110" s="86">
        <f>H110</f>
        <v>8013081.6000000006</v>
      </c>
      <c r="O110" s="112"/>
      <c r="P110" s="86"/>
      <c r="Q110" s="87"/>
      <c r="R110" s="55"/>
      <c r="S110" s="185"/>
    </row>
    <row r="111" spans="2:19" s="5" customFormat="1">
      <c r="B111" s="294"/>
      <c r="C111" s="826"/>
      <c r="D111" s="119" t="s">
        <v>4</v>
      </c>
      <c r="E111" s="467" t="s">
        <v>33</v>
      </c>
      <c r="F111" s="331">
        <f>E109</f>
        <v>801308.16000000003</v>
      </c>
      <c r="G111" s="275">
        <v>4</v>
      </c>
      <c r="H111" s="275">
        <f t="shared" si="1"/>
        <v>3205232.6400000001</v>
      </c>
      <c r="I111" s="333"/>
      <c r="J111" s="333"/>
      <c r="K111" s="71"/>
      <c r="L111" s="163"/>
      <c r="M111" s="49"/>
      <c r="N111" s="86"/>
      <c r="O111" s="112">
        <f>H111</f>
        <v>3205232.6400000001</v>
      </c>
      <c r="P111" s="86"/>
      <c r="Q111" s="87"/>
      <c r="R111" s="55"/>
      <c r="S111" s="185"/>
    </row>
    <row r="112" spans="2:19" s="5" customFormat="1">
      <c r="B112" s="294"/>
      <c r="C112" s="826"/>
      <c r="D112" s="119" t="s">
        <v>34</v>
      </c>
      <c r="E112" s="468">
        <f>$H$5-H5</f>
        <v>0</v>
      </c>
      <c r="F112" s="331">
        <f>E109/44*1.5</f>
        <v>27317.323636363639</v>
      </c>
      <c r="G112" s="275">
        <v>0</v>
      </c>
      <c r="H112" s="275">
        <f t="shared" si="1"/>
        <v>0</v>
      </c>
      <c r="I112" s="333"/>
      <c r="J112" s="333"/>
      <c r="K112" s="71"/>
      <c r="L112" s="163"/>
      <c r="M112" s="49"/>
      <c r="N112" s="86"/>
      <c r="O112" s="112">
        <f>H112</f>
        <v>0</v>
      </c>
      <c r="P112" s="86"/>
      <c r="Q112" s="87"/>
      <c r="R112" s="55"/>
      <c r="S112" s="185"/>
    </row>
    <row r="113" spans="2:19" s="5" customFormat="1">
      <c r="B113" s="294"/>
      <c r="C113" s="826"/>
      <c r="D113" s="119" t="s">
        <v>1</v>
      </c>
      <c r="E113" s="469" t="s">
        <v>35</v>
      </c>
      <c r="F113" s="331">
        <f>E109/5*1.5</f>
        <v>240392.44800000003</v>
      </c>
      <c r="G113" s="275">
        <v>0</v>
      </c>
      <c r="H113" s="275">
        <f t="shared" si="1"/>
        <v>0</v>
      </c>
      <c r="I113" s="333"/>
      <c r="J113" s="333"/>
      <c r="K113" s="71"/>
      <c r="L113" s="163"/>
      <c r="M113" s="49"/>
      <c r="N113" s="86"/>
      <c r="O113" s="112">
        <f>H113</f>
        <v>0</v>
      </c>
      <c r="P113" s="86"/>
      <c r="Q113" s="87"/>
      <c r="R113" s="55"/>
      <c r="S113" s="185"/>
    </row>
    <row r="114" spans="2:19" s="5" customFormat="1">
      <c r="B114" s="294"/>
      <c r="C114" s="826"/>
      <c r="D114" s="119" t="s">
        <v>5</v>
      </c>
      <c r="E114" s="469" t="s">
        <v>35</v>
      </c>
      <c r="F114" s="331">
        <f>E109/5*2</f>
        <v>320523.26400000002</v>
      </c>
      <c r="G114" s="275">
        <v>0</v>
      </c>
      <c r="H114" s="275">
        <f t="shared" si="1"/>
        <v>0</v>
      </c>
      <c r="I114" s="333"/>
      <c r="J114" s="333"/>
      <c r="K114" s="71"/>
      <c r="L114" s="163"/>
      <c r="M114" s="49"/>
      <c r="N114" s="86"/>
      <c r="O114" s="112">
        <f>H114</f>
        <v>0</v>
      </c>
      <c r="P114" s="86"/>
      <c r="Q114" s="87"/>
      <c r="R114" s="55"/>
      <c r="S114" s="185"/>
    </row>
    <row r="115" spans="2:19" s="5" customFormat="1">
      <c r="B115" s="294"/>
      <c r="C115" s="826"/>
      <c r="D115" s="119" t="s">
        <v>6</v>
      </c>
      <c r="E115" s="467" t="s">
        <v>33</v>
      </c>
      <c r="F115" s="331">
        <f>E109</f>
        <v>801308.16000000003</v>
      </c>
      <c r="G115" s="275">
        <f>$F$5-$F$5</f>
        <v>0</v>
      </c>
      <c r="H115" s="275">
        <f t="shared" si="1"/>
        <v>0</v>
      </c>
      <c r="I115" s="333"/>
      <c r="J115" s="333"/>
      <c r="K115" s="71"/>
      <c r="L115" s="163"/>
      <c r="M115" s="49"/>
      <c r="N115" s="86"/>
      <c r="O115" s="112"/>
      <c r="P115" s="86">
        <f>H115</f>
        <v>0</v>
      </c>
      <c r="Q115" s="87"/>
      <c r="R115" s="55"/>
      <c r="S115" s="185"/>
    </row>
    <row r="116" spans="2:19" s="5" customFormat="1">
      <c r="B116" s="294"/>
      <c r="C116" s="826"/>
      <c r="D116" s="119" t="s">
        <v>36</v>
      </c>
      <c r="E116" s="469" t="s">
        <v>21</v>
      </c>
      <c r="F116" s="335">
        <f>G110+G111+G115</f>
        <v>14</v>
      </c>
      <c r="G116" s="336" t="s">
        <v>37</v>
      </c>
      <c r="H116" s="275">
        <f>SUM(H110:H115)</f>
        <v>11218314.24</v>
      </c>
      <c r="I116" s="332"/>
      <c r="J116" s="333"/>
      <c r="K116" s="71"/>
      <c r="L116" s="163"/>
      <c r="M116" s="49"/>
      <c r="N116" s="114"/>
      <c r="O116" s="115"/>
      <c r="P116" s="112"/>
      <c r="Q116" s="87"/>
      <c r="R116" s="55"/>
      <c r="S116" s="185"/>
    </row>
    <row r="117" spans="2:19" s="5" customFormat="1">
      <c r="B117" s="294"/>
      <c r="C117" s="826"/>
      <c r="D117" s="131" t="s">
        <v>38</v>
      </c>
      <c r="E117" s="469" t="s">
        <v>21</v>
      </c>
      <c r="F117" s="331">
        <f>SUM(H110:H115)</f>
        <v>11218314.24</v>
      </c>
      <c r="G117" s="337">
        <f>$G$21</f>
        <v>8.3299999999999999E-2</v>
      </c>
      <c r="H117" s="275">
        <f>+G117*F117</f>
        <v>934485.57619200007</v>
      </c>
      <c r="I117" s="338"/>
      <c r="J117" s="338"/>
      <c r="K117" s="71"/>
      <c r="L117" s="163"/>
      <c r="M117" s="49"/>
      <c r="N117" s="86"/>
      <c r="O117" s="117"/>
      <c r="P117" s="97">
        <f>H117</f>
        <v>934485.57619200007</v>
      </c>
      <c r="Q117" s="105"/>
      <c r="R117" s="55"/>
      <c r="S117" s="185"/>
    </row>
    <row r="118" spans="2:19" s="5" customFormat="1">
      <c r="B118" s="294"/>
      <c r="C118" s="826"/>
      <c r="D118" s="131" t="s">
        <v>39</v>
      </c>
      <c r="E118" s="470">
        <f>F117/(5*F116)</f>
        <v>160261.63200000001</v>
      </c>
      <c r="F118" s="331">
        <f>E118*(F116*7)</f>
        <v>15705639.936000001</v>
      </c>
      <c r="G118" s="339">
        <f>$G$22</f>
        <v>20</v>
      </c>
      <c r="H118" s="275">
        <f>F118/G118</f>
        <v>785281.99680000008</v>
      </c>
      <c r="I118" s="340">
        <v>0</v>
      </c>
      <c r="J118" s="340"/>
      <c r="K118" s="71">
        <f>SUM(G110:G118)</f>
        <v>34.083300000000001</v>
      </c>
      <c r="L118" s="163"/>
      <c r="M118" s="49"/>
      <c r="N118" s="86"/>
      <c r="O118" s="117"/>
      <c r="P118" s="97">
        <f>H118</f>
        <v>785281.99680000008</v>
      </c>
      <c r="Q118" s="105"/>
      <c r="R118" s="55"/>
      <c r="S118" s="185"/>
    </row>
    <row r="119" spans="2:19" s="5" customFormat="1">
      <c r="B119" s="297"/>
      <c r="C119" s="826"/>
      <c r="D119" s="131" t="s">
        <v>354</v>
      </c>
      <c r="E119" s="470">
        <v>8.3333333333333329E-2</v>
      </c>
      <c r="F119" s="331">
        <f>H118</f>
        <v>785281.99680000008</v>
      </c>
      <c r="G119" s="439">
        <v>1</v>
      </c>
      <c r="H119" s="275">
        <f>F119*E119</f>
        <v>65440.166400000002</v>
      </c>
      <c r="I119" s="340">
        <v>0</v>
      </c>
      <c r="J119" s="340">
        <f>SUM(H116:H119)</f>
        <v>13003521.979392001</v>
      </c>
      <c r="K119" s="71">
        <f>SUM(G111:G119)</f>
        <v>25.083300000000001</v>
      </c>
      <c r="L119" s="163"/>
      <c r="M119" s="49"/>
      <c r="N119" s="86"/>
      <c r="O119" s="117"/>
      <c r="P119" s="97">
        <f>H119</f>
        <v>65440.166400000002</v>
      </c>
      <c r="Q119" s="105"/>
      <c r="R119" s="55"/>
      <c r="S119" s="185"/>
    </row>
    <row r="120" spans="2:19" s="5" customFormat="1">
      <c r="B120" s="294"/>
      <c r="C120" s="826"/>
      <c r="D120" s="119"/>
      <c r="E120" s="472"/>
      <c r="F120" s="341"/>
      <c r="G120" s="342"/>
      <c r="H120" s="343"/>
      <c r="I120" s="333"/>
      <c r="J120" s="333"/>
      <c r="K120" s="71"/>
      <c r="L120" s="163"/>
      <c r="M120" s="49"/>
      <c r="N120" s="103"/>
      <c r="O120" s="104"/>
      <c r="P120" s="104"/>
      <c r="Q120" s="105"/>
      <c r="R120" s="55"/>
      <c r="S120" s="185"/>
    </row>
    <row r="121" spans="2:19" s="5" customFormat="1" ht="15" customHeight="1">
      <c r="B121" s="398">
        <v>11</v>
      </c>
      <c r="C121" s="1006">
        <v>1</v>
      </c>
      <c r="D121" s="122" t="s">
        <v>46</v>
      </c>
      <c r="E121" s="467">
        <f>'SICA a Marzo2026'!E15</f>
        <v>551815.19999999995</v>
      </c>
      <c r="F121" s="341"/>
      <c r="G121" s="344"/>
      <c r="H121" s="345"/>
      <c r="I121" s="346"/>
      <c r="J121" s="346"/>
      <c r="L121" s="199"/>
      <c r="M121" s="16"/>
      <c r="N121" s="103"/>
      <c r="O121" s="104"/>
      <c r="P121" s="104"/>
      <c r="Q121" s="105"/>
      <c r="R121" s="22"/>
      <c r="S121" s="185"/>
    </row>
    <row r="122" spans="2:19" s="5" customFormat="1">
      <c r="B122" s="294"/>
      <c r="C122" s="826"/>
      <c r="D122" s="119" t="s">
        <v>0</v>
      </c>
      <c r="E122" s="467" t="s">
        <v>33</v>
      </c>
      <c r="F122" s="331">
        <f>E121</f>
        <v>551815.19999999995</v>
      </c>
      <c r="G122" s="275">
        <v>9</v>
      </c>
      <c r="H122" s="275">
        <f t="shared" ref="H122:H127" si="2">F122*G122</f>
        <v>4966336.8</v>
      </c>
      <c r="I122" s="333"/>
      <c r="J122" s="333"/>
      <c r="K122" s="71"/>
      <c r="L122" s="199"/>
      <c r="M122" s="49"/>
      <c r="N122" s="86">
        <f>H122</f>
        <v>4966336.8</v>
      </c>
      <c r="O122" s="112"/>
      <c r="P122" s="86"/>
      <c r="Q122" s="87"/>
      <c r="R122" s="55"/>
      <c r="S122" s="185"/>
    </row>
    <row r="123" spans="2:19" s="5" customFormat="1">
      <c r="B123" s="294"/>
      <c r="C123" s="826"/>
      <c r="D123" s="119" t="s">
        <v>4</v>
      </c>
      <c r="E123" s="467" t="s">
        <v>33</v>
      </c>
      <c r="F123" s="331">
        <f>E121</f>
        <v>551815.19999999995</v>
      </c>
      <c r="G123" s="349">
        <v>2</v>
      </c>
      <c r="H123" s="275">
        <f t="shared" si="2"/>
        <v>1103630.3999999999</v>
      </c>
      <c r="I123" s="333"/>
      <c r="J123" s="333"/>
      <c r="K123" s="71"/>
      <c r="L123" s="199"/>
      <c r="M123" s="49"/>
      <c r="N123" s="86"/>
      <c r="O123" s="112">
        <f>H123</f>
        <v>1103630.3999999999</v>
      </c>
      <c r="P123" s="86"/>
      <c r="Q123" s="87"/>
      <c r="R123" s="55"/>
      <c r="S123" s="185"/>
    </row>
    <row r="124" spans="2:19" s="5" customFormat="1">
      <c r="B124" s="294"/>
      <c r="C124" s="826"/>
      <c r="D124" s="119" t="s">
        <v>34</v>
      </c>
      <c r="E124" s="468">
        <f>$H$5-H5</f>
        <v>0</v>
      </c>
      <c r="F124" s="331">
        <f>E121/44*1.5</f>
        <v>18811.881818181817</v>
      </c>
      <c r="G124" s="275">
        <v>3</v>
      </c>
      <c r="H124" s="275">
        <f t="shared" si="2"/>
        <v>56435.645454545447</v>
      </c>
      <c r="I124" s="333"/>
      <c r="J124" s="333"/>
      <c r="K124" s="71"/>
      <c r="L124" s="199"/>
      <c r="M124" s="49"/>
      <c r="N124" s="86"/>
      <c r="O124" s="112">
        <f>H124</f>
        <v>56435.645454545447</v>
      </c>
      <c r="P124" s="86"/>
      <c r="Q124" s="87"/>
      <c r="R124" s="55"/>
      <c r="S124" s="185"/>
    </row>
    <row r="125" spans="2:19" s="5" customFormat="1">
      <c r="B125" s="294"/>
      <c r="C125" s="826"/>
      <c r="D125" s="119" t="s">
        <v>1</v>
      </c>
      <c r="E125" s="469" t="s">
        <v>35</v>
      </c>
      <c r="F125" s="331">
        <f>E121/5*1.5</f>
        <v>165544.56</v>
      </c>
      <c r="G125" s="275">
        <v>0</v>
      </c>
      <c r="H125" s="275">
        <f t="shared" si="2"/>
        <v>0</v>
      </c>
      <c r="I125" s="333"/>
      <c r="J125" s="333"/>
      <c r="K125" s="71"/>
      <c r="L125" s="199"/>
      <c r="M125" s="49"/>
      <c r="N125" s="86"/>
      <c r="O125" s="112">
        <f>H125</f>
        <v>0</v>
      </c>
      <c r="P125" s="86"/>
      <c r="Q125" s="87"/>
      <c r="R125" s="55"/>
      <c r="S125" s="185"/>
    </row>
    <row r="126" spans="2:19" s="5" customFormat="1">
      <c r="B126" s="294"/>
      <c r="C126" s="826"/>
      <c r="D126" s="119" t="s">
        <v>5</v>
      </c>
      <c r="E126" s="469" t="s">
        <v>35</v>
      </c>
      <c r="F126" s="331">
        <f>E121/5*2</f>
        <v>220726.08</v>
      </c>
      <c r="G126" s="275">
        <v>0</v>
      </c>
      <c r="H126" s="275">
        <f t="shared" si="2"/>
        <v>0</v>
      </c>
      <c r="I126" s="333"/>
      <c r="J126" s="333"/>
      <c r="K126" s="71"/>
      <c r="L126" s="199"/>
      <c r="M126" s="49"/>
      <c r="N126" s="86"/>
      <c r="O126" s="112">
        <f>H126</f>
        <v>0</v>
      </c>
      <c r="P126" s="86"/>
      <c r="Q126" s="87"/>
      <c r="R126" s="55"/>
      <c r="S126" s="185"/>
    </row>
    <row r="127" spans="2:19" s="5" customFormat="1">
      <c r="B127" s="294"/>
      <c r="C127" s="826"/>
      <c r="D127" s="119" t="s">
        <v>6</v>
      </c>
      <c r="E127" s="467" t="s">
        <v>33</v>
      </c>
      <c r="F127" s="331">
        <f>E121</f>
        <v>551815.19999999995</v>
      </c>
      <c r="G127" s="275">
        <f>$F$5-$F$5</f>
        <v>0</v>
      </c>
      <c r="H127" s="275">
        <f t="shared" si="2"/>
        <v>0</v>
      </c>
      <c r="I127" s="333"/>
      <c r="J127" s="333"/>
      <c r="K127" s="71"/>
      <c r="L127" s="199"/>
      <c r="M127" s="49"/>
      <c r="N127" s="86"/>
      <c r="O127" s="112"/>
      <c r="P127" s="86">
        <f>H127</f>
        <v>0</v>
      </c>
      <c r="Q127" s="87"/>
      <c r="R127" s="55"/>
      <c r="S127" s="185"/>
    </row>
    <row r="128" spans="2:19" s="5" customFormat="1">
      <c r="B128" s="294"/>
      <c r="C128" s="826"/>
      <c r="D128" s="119" t="s">
        <v>36</v>
      </c>
      <c r="E128" s="469" t="s">
        <v>21</v>
      </c>
      <c r="F128" s="335">
        <f>G122+G123+G127</f>
        <v>11</v>
      </c>
      <c r="G128" s="336" t="s">
        <v>37</v>
      </c>
      <c r="H128" s="275">
        <f>SUM(H122:H127)</f>
        <v>6126402.8454545448</v>
      </c>
      <c r="I128" s="332"/>
      <c r="J128" s="333"/>
      <c r="K128" s="71"/>
      <c r="L128" s="199"/>
      <c r="M128" s="49"/>
      <c r="N128" s="114"/>
      <c r="O128" s="115"/>
      <c r="P128" s="112"/>
      <c r="Q128" s="87"/>
      <c r="R128" s="55"/>
      <c r="S128" s="185"/>
    </row>
    <row r="129" spans="2:19" s="5" customFormat="1">
      <c r="B129" s="294"/>
      <c r="C129" s="826"/>
      <c r="D129" s="131" t="s">
        <v>38</v>
      </c>
      <c r="E129" s="469" t="s">
        <v>21</v>
      </c>
      <c r="F129" s="331">
        <f>SUM(H122:H127)</f>
        <v>6126402.8454545448</v>
      </c>
      <c r="G129" s="337">
        <f>$G$21</f>
        <v>8.3299999999999999E-2</v>
      </c>
      <c r="H129" s="275">
        <f>+G129*F129</f>
        <v>510329.35702636355</v>
      </c>
      <c r="I129" s="338"/>
      <c r="J129" s="338"/>
      <c r="K129" s="71"/>
      <c r="L129" s="199"/>
      <c r="M129" s="49"/>
      <c r="N129" s="86"/>
      <c r="O129" s="117"/>
      <c r="P129" s="97">
        <f>H129</f>
        <v>510329.35702636355</v>
      </c>
      <c r="Q129" s="105"/>
      <c r="R129" s="55"/>
      <c r="S129" s="185"/>
    </row>
    <row r="130" spans="2:19" s="5" customFormat="1">
      <c r="B130" s="294"/>
      <c r="C130" s="826"/>
      <c r="D130" s="131" t="s">
        <v>231</v>
      </c>
      <c r="E130" s="470">
        <f>F129/(5*F128)</f>
        <v>111389.14264462808</v>
      </c>
      <c r="F130" s="331">
        <f>E130*(F128*7)</f>
        <v>8576963.9836363625</v>
      </c>
      <c r="G130" s="339">
        <f>$G$22</f>
        <v>20</v>
      </c>
      <c r="H130" s="275">
        <f>F130/G130</f>
        <v>428848.19918181811</v>
      </c>
      <c r="I130" s="340">
        <v>0</v>
      </c>
      <c r="J130" s="340"/>
      <c r="K130" s="71">
        <f>SUM(G122:G130)</f>
        <v>34.083300000000001</v>
      </c>
      <c r="L130" s="199"/>
      <c r="M130" s="49"/>
      <c r="N130" s="86"/>
      <c r="O130" s="117"/>
      <c r="P130" s="97">
        <f>H130</f>
        <v>428848.19918181811</v>
      </c>
      <c r="Q130" s="105"/>
      <c r="R130" s="55"/>
      <c r="S130" s="185"/>
    </row>
    <row r="131" spans="2:19" s="5" customFormat="1">
      <c r="B131" s="297"/>
      <c r="C131" s="826"/>
      <c r="D131" s="131" t="s">
        <v>354</v>
      </c>
      <c r="E131" s="470">
        <v>8.3333333333333329E-2</v>
      </c>
      <c r="F131" s="331">
        <f>H130</f>
        <v>428848.19918181811</v>
      </c>
      <c r="G131" s="439">
        <v>1</v>
      </c>
      <c r="H131" s="275">
        <f>F131*E131</f>
        <v>35737.349931818171</v>
      </c>
      <c r="I131" s="340">
        <v>0</v>
      </c>
      <c r="J131" s="340">
        <f>SUM(H128:H131)</f>
        <v>7101317.7515945453</v>
      </c>
      <c r="K131" s="71">
        <f>SUM(G123:G131)</f>
        <v>26.083300000000001</v>
      </c>
      <c r="L131" s="163"/>
      <c r="M131" s="49"/>
      <c r="N131" s="86"/>
      <c r="O131" s="117"/>
      <c r="P131" s="97">
        <f>H131</f>
        <v>35737.349931818171</v>
      </c>
      <c r="Q131" s="105"/>
      <c r="R131" s="55"/>
      <c r="S131" s="185"/>
    </row>
    <row r="132" spans="2:19" s="5" customFormat="1">
      <c r="B132" s="294"/>
      <c r="C132" s="826"/>
      <c r="D132" s="119"/>
      <c r="E132" s="472"/>
      <c r="F132" s="341"/>
      <c r="G132" s="342"/>
      <c r="H132" s="343"/>
      <c r="I132" s="333"/>
      <c r="J132" s="333"/>
      <c r="K132" s="71"/>
      <c r="L132" s="199"/>
      <c r="M132" s="49"/>
      <c r="N132" s="103"/>
      <c r="O132" s="104"/>
      <c r="P132" s="104"/>
      <c r="Q132" s="105"/>
      <c r="R132" s="55"/>
      <c r="S132" s="185"/>
    </row>
    <row r="133" spans="2:19" s="5" customFormat="1" ht="15" customHeight="1">
      <c r="B133" s="398">
        <v>12</v>
      </c>
      <c r="C133" s="1006">
        <v>1</v>
      </c>
      <c r="D133" s="122" t="s">
        <v>47</v>
      </c>
      <c r="E133" s="467">
        <f>'SICA a Marzo2026'!E16</f>
        <v>892762.56</v>
      </c>
      <c r="F133" s="341"/>
      <c r="G133" s="344"/>
      <c r="H133" s="345"/>
      <c r="I133" s="346"/>
      <c r="J133" s="346"/>
      <c r="L133" s="163"/>
      <c r="M133" s="16"/>
      <c r="N133" s="103"/>
      <c r="O133" s="104"/>
      <c r="P133" s="104"/>
      <c r="Q133" s="105"/>
      <c r="R133" s="22"/>
      <c r="S133" s="185"/>
    </row>
    <row r="134" spans="2:19" s="5" customFormat="1">
      <c r="B134" s="294"/>
      <c r="C134" s="826"/>
      <c r="D134" s="119" t="s">
        <v>260</v>
      </c>
      <c r="E134" s="467" t="s">
        <v>33</v>
      </c>
      <c r="F134" s="331">
        <f>E133</f>
        <v>892762.56</v>
      </c>
      <c r="G134" s="275">
        <v>3</v>
      </c>
      <c r="H134" s="275">
        <f t="shared" ref="H134:H139" si="3">F134*G134</f>
        <v>2678287.6800000002</v>
      </c>
      <c r="I134" s="333"/>
      <c r="J134" s="333"/>
      <c r="K134" s="71"/>
      <c r="L134" s="163"/>
      <c r="M134" s="49"/>
      <c r="N134" s="86">
        <f>H134</f>
        <v>2678287.6800000002</v>
      </c>
      <c r="O134" s="112"/>
      <c r="P134" s="86"/>
      <c r="Q134" s="87"/>
      <c r="R134" s="55"/>
      <c r="S134" s="185"/>
    </row>
    <row r="135" spans="2:19" s="5" customFormat="1">
      <c r="B135" s="294"/>
      <c r="C135" s="826"/>
      <c r="D135" s="119" t="s">
        <v>4</v>
      </c>
      <c r="E135" s="467" t="s">
        <v>33</v>
      </c>
      <c r="F135" s="331">
        <f>E133</f>
        <v>892762.56</v>
      </c>
      <c r="G135" s="275">
        <f>$F$4</f>
        <v>6</v>
      </c>
      <c r="H135" s="275">
        <f t="shared" si="3"/>
        <v>5356575.3600000003</v>
      </c>
      <c r="I135" s="333"/>
      <c r="J135" s="333"/>
      <c r="K135" s="71"/>
      <c r="L135" s="163"/>
      <c r="M135" s="49"/>
      <c r="N135" s="86"/>
      <c r="O135" s="112">
        <f>H135</f>
        <v>5356575.3600000003</v>
      </c>
      <c r="P135" s="86"/>
      <c r="Q135" s="87"/>
      <c r="R135" s="55"/>
      <c r="S135" s="185"/>
    </row>
    <row r="136" spans="2:19" s="5" customFormat="1">
      <c r="B136" s="294"/>
      <c r="C136" s="826"/>
      <c r="D136" s="119" t="s">
        <v>34</v>
      </c>
      <c r="E136" s="468">
        <f>$H$5</f>
        <v>11.25</v>
      </c>
      <c r="F136" s="331">
        <f>E133/44*1.5</f>
        <v>30435.087272727273</v>
      </c>
      <c r="G136" s="334">
        <f>$F$4</f>
        <v>6</v>
      </c>
      <c r="H136" s="275">
        <f t="shared" si="3"/>
        <v>182610.52363636362</v>
      </c>
      <c r="I136" s="333"/>
      <c r="J136" s="333"/>
      <c r="K136" s="71"/>
      <c r="L136" s="163"/>
      <c r="M136" s="49"/>
      <c r="N136" s="86"/>
      <c r="O136" s="112">
        <f>H136</f>
        <v>182610.52363636362</v>
      </c>
      <c r="P136" s="86"/>
      <c r="Q136" s="87"/>
      <c r="R136" s="55"/>
      <c r="S136" s="185"/>
    </row>
    <row r="137" spans="2:19" s="5" customFormat="1">
      <c r="B137" s="294"/>
      <c r="C137" s="826"/>
      <c r="D137" s="119" t="s">
        <v>1</v>
      </c>
      <c r="E137" s="469" t="s">
        <v>35</v>
      </c>
      <c r="F137" s="331">
        <f>E133/5*1.5</f>
        <v>267828.76800000004</v>
      </c>
      <c r="G137" s="275">
        <f>$H$3</f>
        <v>0</v>
      </c>
      <c r="H137" s="275">
        <f t="shared" si="3"/>
        <v>0</v>
      </c>
      <c r="I137" s="333"/>
      <c r="J137" s="333"/>
      <c r="K137" s="71"/>
      <c r="L137" s="163"/>
      <c r="M137" s="49"/>
      <c r="N137" s="86"/>
      <c r="O137" s="112">
        <f>H137</f>
        <v>0</v>
      </c>
      <c r="P137" s="86"/>
      <c r="Q137" s="87"/>
      <c r="R137" s="55"/>
      <c r="S137" s="185"/>
    </row>
    <row r="138" spans="2:19" s="5" customFormat="1">
      <c r="B138" s="294"/>
      <c r="C138" s="826"/>
      <c r="D138" s="119" t="s">
        <v>5</v>
      </c>
      <c r="E138" s="469" t="s">
        <v>35</v>
      </c>
      <c r="F138" s="331">
        <f>E133/5*2</f>
        <v>357105.02400000003</v>
      </c>
      <c r="G138" s="275">
        <f>$H$4</f>
        <v>0</v>
      </c>
      <c r="H138" s="275">
        <f t="shared" si="3"/>
        <v>0</v>
      </c>
      <c r="I138" s="333"/>
      <c r="J138" s="333"/>
      <c r="K138" s="71"/>
      <c r="L138" s="163"/>
      <c r="M138" s="49"/>
      <c r="N138" s="86"/>
      <c r="O138" s="112">
        <f>H138</f>
        <v>0</v>
      </c>
      <c r="P138" s="86"/>
      <c r="Q138" s="87"/>
      <c r="R138" s="55"/>
      <c r="S138" s="185"/>
    </row>
    <row r="139" spans="2:19" s="5" customFormat="1">
      <c r="B139" s="294"/>
      <c r="C139" s="826"/>
      <c r="D139" s="119" t="s">
        <v>6</v>
      </c>
      <c r="E139" s="467" t="s">
        <v>33</v>
      </c>
      <c r="F139" s="331">
        <f>E133</f>
        <v>892762.56</v>
      </c>
      <c r="G139" s="275">
        <v>2</v>
      </c>
      <c r="H139" s="275">
        <f t="shared" si="3"/>
        <v>1785525.12</v>
      </c>
      <c r="I139" s="333"/>
      <c r="J139" s="333"/>
      <c r="K139" s="71"/>
      <c r="L139" s="163"/>
      <c r="M139" s="49"/>
      <c r="N139" s="86"/>
      <c r="O139" s="112"/>
      <c r="P139" s="86">
        <f>SUM(H139)</f>
        <v>1785525.12</v>
      </c>
      <c r="Q139" s="87"/>
      <c r="R139" s="55"/>
      <c r="S139" s="185"/>
    </row>
    <row r="140" spans="2:19" s="5" customFormat="1">
      <c r="B140" s="294"/>
      <c r="C140" s="826"/>
      <c r="D140" s="119" t="s">
        <v>36</v>
      </c>
      <c r="E140" s="469" t="s">
        <v>21</v>
      </c>
      <c r="F140" s="335">
        <f>G134+G135+G139</f>
        <v>11</v>
      </c>
      <c r="G140" s="336" t="s">
        <v>37</v>
      </c>
      <c r="H140" s="275">
        <f>SUM(H134:H139)</f>
        <v>10002998.683636364</v>
      </c>
      <c r="I140" s="332"/>
      <c r="J140" s="333"/>
      <c r="K140" s="71"/>
      <c r="L140" s="163"/>
      <c r="M140" s="49"/>
      <c r="N140" s="114"/>
      <c r="O140" s="115"/>
      <c r="P140" s="112"/>
      <c r="Q140" s="87"/>
      <c r="R140" s="55"/>
      <c r="S140" s="185"/>
    </row>
    <row r="141" spans="2:19" s="5" customFormat="1">
      <c r="B141" s="294"/>
      <c r="C141" s="826"/>
      <c r="D141" s="131" t="s">
        <v>38</v>
      </c>
      <c r="E141" s="469" t="s">
        <v>21</v>
      </c>
      <c r="F141" s="331">
        <f>SUM(H134:H139)</f>
        <v>10002998.683636364</v>
      </c>
      <c r="G141" s="337">
        <f>$G$21</f>
        <v>8.3299999999999999E-2</v>
      </c>
      <c r="H141" s="275">
        <f>+G141*F141</f>
        <v>833249.79034690908</v>
      </c>
      <c r="I141" s="338"/>
      <c r="J141" s="338"/>
      <c r="K141" s="71"/>
      <c r="L141" s="163"/>
      <c r="M141" s="49"/>
      <c r="N141" s="86"/>
      <c r="O141" s="117"/>
      <c r="P141" s="97">
        <f>H141</f>
        <v>833249.79034690908</v>
      </c>
      <c r="Q141" s="105"/>
      <c r="R141" s="55"/>
      <c r="S141" s="185"/>
    </row>
    <row r="142" spans="2:19" s="5" customFormat="1">
      <c r="B142" s="294"/>
      <c r="C142" s="826"/>
      <c r="D142" s="131" t="s">
        <v>39</v>
      </c>
      <c r="E142" s="470">
        <f>F141/(5*F140)</f>
        <v>181872.70333884298</v>
      </c>
      <c r="F142" s="331">
        <f>E142*(F140*7)</f>
        <v>14004198.15709091</v>
      </c>
      <c r="G142" s="339">
        <f>$G$22</f>
        <v>20</v>
      </c>
      <c r="H142" s="275">
        <f>F142/G142</f>
        <v>700209.90785454551</v>
      </c>
      <c r="I142" s="340">
        <v>0</v>
      </c>
      <c r="J142" s="340"/>
      <c r="K142" s="71">
        <f>SUM(G134:G142)</f>
        <v>37.083300000000001</v>
      </c>
      <c r="L142" s="163"/>
      <c r="M142" s="49"/>
      <c r="N142" s="86"/>
      <c r="O142" s="117"/>
      <c r="P142" s="97">
        <f>H142</f>
        <v>700209.90785454551</v>
      </c>
      <c r="Q142" s="105"/>
      <c r="R142" s="55"/>
      <c r="S142" s="185"/>
    </row>
    <row r="143" spans="2:19" s="5" customFormat="1">
      <c r="B143" s="297"/>
      <c r="C143" s="826"/>
      <c r="D143" s="131" t="s">
        <v>354</v>
      </c>
      <c r="E143" s="470">
        <v>8.3333333333333329E-2</v>
      </c>
      <c r="F143" s="331">
        <f>H142</f>
        <v>700209.90785454551</v>
      </c>
      <c r="G143" s="439">
        <v>1</v>
      </c>
      <c r="H143" s="275">
        <f>F143*E143</f>
        <v>58350.825654545457</v>
      </c>
      <c r="I143" s="340">
        <v>0</v>
      </c>
      <c r="J143" s="340">
        <f>SUM(H140:H143)</f>
        <v>11594809.207492365</v>
      </c>
      <c r="K143" s="71">
        <f>SUM(G135:G143)</f>
        <v>35.083300000000001</v>
      </c>
      <c r="L143" s="163"/>
      <c r="M143" s="49"/>
      <c r="N143" s="86"/>
      <c r="O143" s="117"/>
      <c r="P143" s="97">
        <f>H143</f>
        <v>58350.825654545457</v>
      </c>
      <c r="Q143" s="105"/>
      <c r="R143" s="55"/>
      <c r="S143" s="185"/>
    </row>
    <row r="144" spans="2:19" s="5" customFormat="1">
      <c r="B144" s="294"/>
      <c r="C144" s="826"/>
      <c r="D144" s="119"/>
      <c r="E144" s="471"/>
      <c r="F144" s="341"/>
      <c r="G144" s="342"/>
      <c r="H144" s="343"/>
      <c r="I144" s="333"/>
      <c r="J144" s="333"/>
      <c r="K144" s="71"/>
      <c r="L144" s="163"/>
      <c r="M144" s="49"/>
      <c r="N144" s="103"/>
      <c r="O144" s="104"/>
      <c r="P144" s="104"/>
      <c r="Q144" s="105"/>
      <c r="R144" s="55"/>
      <c r="S144" s="185"/>
    </row>
    <row r="145" spans="2:19" s="5" customFormat="1" ht="15" customHeight="1">
      <c r="B145" s="398">
        <v>13</v>
      </c>
      <c r="C145" s="1006">
        <v>1</v>
      </c>
      <c r="D145" s="122" t="s">
        <v>48</v>
      </c>
      <c r="E145" s="467">
        <f>'SICA a Marzo2026'!E17</f>
        <v>787836.24</v>
      </c>
      <c r="F145" s="341"/>
      <c r="G145" s="344"/>
      <c r="H145" s="345"/>
      <c r="I145" s="346"/>
      <c r="J145" s="346"/>
      <c r="L145" s="163"/>
      <c r="M145" s="16"/>
      <c r="N145" s="103"/>
      <c r="O145" s="104"/>
      <c r="P145" s="104"/>
      <c r="Q145" s="105"/>
      <c r="R145" s="22"/>
      <c r="S145" s="185"/>
    </row>
    <row r="146" spans="2:19" s="5" customFormat="1">
      <c r="B146" s="294"/>
      <c r="C146" s="826"/>
      <c r="D146" s="119" t="s">
        <v>49</v>
      </c>
      <c r="E146" s="467" t="s">
        <v>33</v>
      </c>
      <c r="F146" s="331">
        <f>E145</f>
        <v>787836.24</v>
      </c>
      <c r="G146" s="276">
        <v>0.2</v>
      </c>
      <c r="H146" s="275">
        <f>+G146*F146</f>
        <v>157567.24800000002</v>
      </c>
      <c r="I146" s="333"/>
      <c r="J146" s="333"/>
      <c r="K146" s="71"/>
      <c r="L146" s="163"/>
      <c r="M146" s="49"/>
      <c r="N146" s="86">
        <f>H146</f>
        <v>157567.24800000002</v>
      </c>
      <c r="O146" s="112"/>
      <c r="P146" s="86"/>
      <c r="Q146" s="87"/>
      <c r="R146" s="55"/>
      <c r="S146" s="185"/>
    </row>
    <row r="147" spans="2:19" s="5" customFormat="1">
      <c r="B147" s="294"/>
      <c r="C147" s="826"/>
      <c r="D147" s="119" t="s">
        <v>4</v>
      </c>
      <c r="E147" s="467" t="s">
        <v>33</v>
      </c>
      <c r="F147" s="331">
        <f>E145</f>
        <v>787836.24</v>
      </c>
      <c r="G147" s="275">
        <f>$F$4</f>
        <v>6</v>
      </c>
      <c r="H147" s="275">
        <f>+G147*F147</f>
        <v>4727017.4399999995</v>
      </c>
      <c r="I147" s="333"/>
      <c r="J147" s="333"/>
      <c r="K147" s="71"/>
      <c r="L147" s="163"/>
      <c r="M147" s="49"/>
      <c r="N147" s="86"/>
      <c r="O147" s="112">
        <f>H147</f>
        <v>4727017.4399999995</v>
      </c>
      <c r="P147" s="86"/>
      <c r="Q147" s="87"/>
      <c r="R147" s="55"/>
      <c r="S147" s="185"/>
    </row>
    <row r="148" spans="2:19" s="5" customFormat="1">
      <c r="B148" s="294"/>
      <c r="C148" s="826"/>
      <c r="D148" s="119" t="s">
        <v>34</v>
      </c>
      <c r="E148" s="468">
        <f>$H$5+2</f>
        <v>13.25</v>
      </c>
      <c r="F148" s="331">
        <f>E145/44*1.5</f>
        <v>26858.053636363635</v>
      </c>
      <c r="G148" s="334">
        <f>$F$4</f>
        <v>6</v>
      </c>
      <c r="H148" s="275">
        <f>+G148*F148*E148</f>
        <v>2135215.2640909092</v>
      </c>
      <c r="I148" s="333"/>
      <c r="J148" s="333"/>
      <c r="K148" s="71"/>
      <c r="L148" s="163"/>
      <c r="M148" s="49"/>
      <c r="N148" s="86"/>
      <c r="O148" s="112">
        <f>H148</f>
        <v>2135215.2640909092</v>
      </c>
      <c r="P148" s="86"/>
      <c r="Q148" s="87"/>
      <c r="R148" s="55"/>
      <c r="S148" s="185"/>
    </row>
    <row r="149" spans="2:19" s="5" customFormat="1">
      <c r="B149" s="294"/>
      <c r="C149" s="826"/>
      <c r="D149" s="119" t="s">
        <v>1</v>
      </c>
      <c r="E149" s="469" t="s">
        <v>35</v>
      </c>
      <c r="F149" s="331">
        <f>E145/5*1.5</f>
        <v>236350.87199999997</v>
      </c>
      <c r="G149" s="275">
        <f>$H$3</f>
        <v>0</v>
      </c>
      <c r="H149" s="275">
        <f>+G149*F149</f>
        <v>0</v>
      </c>
      <c r="I149" s="333"/>
      <c r="J149" s="333"/>
      <c r="K149" s="71"/>
      <c r="L149" s="163"/>
      <c r="M149" s="49"/>
      <c r="N149" s="86"/>
      <c r="O149" s="112">
        <f>H149</f>
        <v>0</v>
      </c>
      <c r="P149" s="86"/>
      <c r="Q149" s="87"/>
      <c r="R149" s="55"/>
      <c r="S149" s="185"/>
    </row>
    <row r="150" spans="2:19" s="5" customFormat="1">
      <c r="B150" s="294"/>
      <c r="C150" s="826"/>
      <c r="D150" s="119" t="s">
        <v>5</v>
      </c>
      <c r="E150" s="469" t="s">
        <v>35</v>
      </c>
      <c r="F150" s="331">
        <f>E145/5*2</f>
        <v>315134.49599999998</v>
      </c>
      <c r="G150" s="275">
        <f>$H$4</f>
        <v>0</v>
      </c>
      <c r="H150" s="275">
        <f>+G150*F150</f>
        <v>0</v>
      </c>
      <c r="I150" s="333"/>
      <c r="J150" s="333"/>
      <c r="K150" s="71"/>
      <c r="L150" s="163"/>
      <c r="M150" s="49"/>
      <c r="N150" s="86"/>
      <c r="O150" s="112">
        <f>H150</f>
        <v>0</v>
      </c>
      <c r="P150" s="86"/>
      <c r="Q150" s="87"/>
      <c r="R150" s="55"/>
      <c r="S150" s="185"/>
    </row>
    <row r="151" spans="2:19" s="5" customFormat="1">
      <c r="B151" s="294"/>
      <c r="C151" s="826"/>
      <c r="D151" s="119" t="s">
        <v>50</v>
      </c>
      <c r="E151" s="467" t="s">
        <v>33</v>
      </c>
      <c r="F151" s="331">
        <f>E145</f>
        <v>787836.24</v>
      </c>
      <c r="G151" s="276">
        <v>0.2</v>
      </c>
      <c r="H151" s="275">
        <f>+G151*F151</f>
        <v>157567.24800000002</v>
      </c>
      <c r="I151" s="333"/>
      <c r="J151" s="333"/>
      <c r="K151" s="71"/>
      <c r="L151" s="163"/>
      <c r="M151" s="49"/>
      <c r="N151" s="86"/>
      <c r="O151" s="112"/>
      <c r="P151" s="86">
        <f>SUM(H151)</f>
        <v>157567.24800000002</v>
      </c>
      <c r="Q151" s="87"/>
      <c r="R151" s="55"/>
      <c r="S151" s="185"/>
    </row>
    <row r="152" spans="2:19" s="5" customFormat="1">
      <c r="B152" s="294"/>
      <c r="C152" s="826"/>
      <c r="D152" s="119" t="s">
        <v>36</v>
      </c>
      <c r="E152" s="469" t="s">
        <v>21</v>
      </c>
      <c r="F152" s="347">
        <f>G146+G147+G151</f>
        <v>6.4</v>
      </c>
      <c r="G152" s="336" t="s">
        <v>37</v>
      </c>
      <c r="H152" s="275">
        <f>SUM(H146:H151)</f>
        <v>7177367.2000909075</v>
      </c>
      <c r="I152" s="332"/>
      <c r="J152" s="333"/>
      <c r="K152" s="71"/>
      <c r="L152" s="163"/>
      <c r="M152" s="49"/>
      <c r="N152" s="114"/>
      <c r="O152" s="115"/>
      <c r="P152" s="112"/>
      <c r="Q152" s="87"/>
      <c r="R152" s="55"/>
      <c r="S152" s="185"/>
    </row>
    <row r="153" spans="2:19" s="5" customFormat="1">
      <c r="B153" s="294"/>
      <c r="C153" s="826"/>
      <c r="D153" s="131" t="s">
        <v>38</v>
      </c>
      <c r="E153" s="469" t="s">
        <v>21</v>
      </c>
      <c r="F153" s="331">
        <f>SUM(H146:H151)</f>
        <v>7177367.2000909075</v>
      </c>
      <c r="G153" s="337">
        <f>$G$21</f>
        <v>8.3299999999999999E-2</v>
      </c>
      <c r="H153" s="275">
        <f>+G153*F153</f>
        <v>597874.68776757258</v>
      </c>
      <c r="I153" s="338"/>
      <c r="J153" s="338"/>
      <c r="K153" s="71"/>
      <c r="L153" s="163"/>
      <c r="M153" s="49"/>
      <c r="N153" s="86"/>
      <c r="O153" s="117"/>
      <c r="P153" s="97">
        <f>H153</f>
        <v>597874.68776757258</v>
      </c>
      <c r="Q153" s="105"/>
      <c r="R153" s="55"/>
      <c r="S153" s="185"/>
    </row>
    <row r="154" spans="2:19" s="5" customFormat="1">
      <c r="B154" s="294"/>
      <c r="C154" s="826"/>
      <c r="D154" s="131" t="s">
        <v>39</v>
      </c>
      <c r="E154" s="470">
        <f>F153/(5*F152)</f>
        <v>224292.72500284086</v>
      </c>
      <c r="F154" s="331">
        <f>E154*(F152*7)</f>
        <v>10048314.080127271</v>
      </c>
      <c r="G154" s="339">
        <f>$G$22</f>
        <v>20</v>
      </c>
      <c r="H154" s="275">
        <f>F154/G154</f>
        <v>502415.70400636352</v>
      </c>
      <c r="I154" s="340">
        <v>0</v>
      </c>
      <c r="J154" s="340"/>
      <c r="K154" s="71">
        <f>SUM(G146:G154)</f>
        <v>32.4833</v>
      </c>
      <c r="L154" s="163"/>
      <c r="M154" s="49"/>
      <c r="N154" s="86"/>
      <c r="O154" s="117"/>
      <c r="P154" s="97">
        <f>H154</f>
        <v>502415.70400636352</v>
      </c>
      <c r="Q154" s="105"/>
      <c r="R154" s="55"/>
      <c r="S154" s="185"/>
    </row>
    <row r="155" spans="2:19" s="5" customFormat="1">
      <c r="B155" s="297"/>
      <c r="C155" s="826"/>
      <c r="D155" s="131" t="s">
        <v>354</v>
      </c>
      <c r="E155" s="470">
        <v>8.3333333333333329E-2</v>
      </c>
      <c r="F155" s="331">
        <f>H154</f>
        <v>502415.70400636352</v>
      </c>
      <c r="G155" s="439">
        <v>1</v>
      </c>
      <c r="H155" s="275">
        <f>F155*E155</f>
        <v>41867.975333863622</v>
      </c>
      <c r="I155" s="340">
        <v>0</v>
      </c>
      <c r="J155" s="340">
        <f>SUM(H152:H155)</f>
        <v>8319525.5671987077</v>
      </c>
      <c r="K155" s="71">
        <f>SUM(G147:G155)</f>
        <v>33.283299999999997</v>
      </c>
      <c r="L155" s="163"/>
      <c r="M155" s="49"/>
      <c r="N155" s="86"/>
      <c r="O155" s="117"/>
      <c r="P155" s="97">
        <f>H155</f>
        <v>41867.975333863622</v>
      </c>
      <c r="Q155" s="105"/>
      <c r="R155" s="55"/>
      <c r="S155" s="185"/>
    </row>
    <row r="156" spans="2:19" s="5" customFormat="1">
      <c r="B156" s="294"/>
      <c r="C156" s="826"/>
      <c r="D156" s="119"/>
      <c r="E156" s="471"/>
      <c r="F156" s="341"/>
      <c r="G156" s="342"/>
      <c r="H156" s="343"/>
      <c r="I156" s="333"/>
      <c r="J156" s="333"/>
      <c r="K156" s="71"/>
      <c r="L156" s="163"/>
      <c r="M156" s="49"/>
      <c r="N156" s="103"/>
      <c r="O156" s="104"/>
      <c r="P156" s="104"/>
      <c r="Q156" s="105"/>
      <c r="R156" s="55"/>
      <c r="S156" s="185"/>
    </row>
    <row r="157" spans="2:19" s="5" customFormat="1" ht="15" customHeight="1">
      <c r="B157" s="398">
        <v>14</v>
      </c>
      <c r="C157" s="1006">
        <v>1</v>
      </c>
      <c r="D157" s="122" t="s">
        <v>51</v>
      </c>
      <c r="E157" s="467">
        <f>'SICA a Marzo2026'!E18</f>
        <v>716729.04</v>
      </c>
      <c r="F157" s="341"/>
      <c r="G157" s="344"/>
      <c r="H157" s="345"/>
      <c r="I157" s="346"/>
      <c r="J157" s="346"/>
      <c r="L157" s="163"/>
      <c r="M157" s="16"/>
      <c r="N157" s="103"/>
      <c r="O157" s="104"/>
      <c r="P157" s="104"/>
      <c r="Q157" s="105"/>
      <c r="R157" s="22"/>
      <c r="S157" s="185"/>
    </row>
    <row r="158" spans="2:19" s="5" customFormat="1">
      <c r="B158" s="294"/>
      <c r="C158" s="826"/>
      <c r="D158" s="119" t="s">
        <v>49</v>
      </c>
      <c r="E158" s="467" t="s">
        <v>33</v>
      </c>
      <c r="F158" s="331">
        <f>E157</f>
        <v>716729.04</v>
      </c>
      <c r="G158" s="276">
        <v>0.2</v>
      </c>
      <c r="H158" s="275">
        <f t="shared" ref="H158:H163" si="4">F158*G158</f>
        <v>143345.80800000002</v>
      </c>
      <c r="I158" s="333"/>
      <c r="J158" s="333"/>
      <c r="K158" s="71"/>
      <c r="L158" s="163"/>
      <c r="M158" s="49"/>
      <c r="N158" s="86">
        <f>H158</f>
        <v>143345.80800000002</v>
      </c>
      <c r="O158" s="112"/>
      <c r="P158" s="86"/>
      <c r="Q158" s="87"/>
      <c r="R158" s="55"/>
      <c r="S158" s="185"/>
    </row>
    <row r="159" spans="2:19" s="5" customFormat="1">
      <c r="B159" s="294"/>
      <c r="C159" s="826"/>
      <c r="D159" s="119" t="s">
        <v>4</v>
      </c>
      <c r="E159" s="467" t="s">
        <v>33</v>
      </c>
      <c r="F159" s="331">
        <f>E157</f>
        <v>716729.04</v>
      </c>
      <c r="G159" s="275">
        <f>$F$4</f>
        <v>6</v>
      </c>
      <c r="H159" s="275">
        <f t="shared" si="4"/>
        <v>4300374.24</v>
      </c>
      <c r="I159" s="333"/>
      <c r="J159" s="333"/>
      <c r="K159" s="71"/>
      <c r="L159" s="163"/>
      <c r="M159" s="49"/>
      <c r="N159" s="86"/>
      <c r="O159" s="112">
        <f>H159</f>
        <v>4300374.24</v>
      </c>
      <c r="P159" s="86"/>
      <c r="Q159" s="87"/>
      <c r="R159" s="55"/>
      <c r="S159" s="185"/>
    </row>
    <row r="160" spans="2:19" s="5" customFormat="1">
      <c r="B160" s="294"/>
      <c r="C160" s="826"/>
      <c r="D160" s="119" t="s">
        <v>34</v>
      </c>
      <c r="E160" s="468">
        <f>$H$5</f>
        <v>11.25</v>
      </c>
      <c r="F160" s="331">
        <f>E157/44*1.5</f>
        <v>24433.944545454546</v>
      </c>
      <c r="G160" s="334">
        <f>$F$4</f>
        <v>6</v>
      </c>
      <c r="H160" s="275">
        <f t="shared" si="4"/>
        <v>146603.66727272727</v>
      </c>
      <c r="I160" s="333"/>
      <c r="J160" s="333"/>
      <c r="K160" s="71"/>
      <c r="L160" s="163"/>
      <c r="M160" s="49"/>
      <c r="N160" s="86"/>
      <c r="O160" s="112">
        <f>H160</f>
        <v>146603.66727272727</v>
      </c>
      <c r="P160" s="86"/>
      <c r="Q160" s="87"/>
      <c r="R160" s="55"/>
      <c r="S160" s="185"/>
    </row>
    <row r="161" spans="2:19" s="5" customFormat="1">
      <c r="B161" s="294"/>
      <c r="C161" s="826"/>
      <c r="D161" s="119" t="s">
        <v>1</v>
      </c>
      <c r="E161" s="469" t="s">
        <v>35</v>
      </c>
      <c r="F161" s="331">
        <f>E157/5*1.5</f>
        <v>215018.71200000003</v>
      </c>
      <c r="G161" s="275">
        <f>$H$3</f>
        <v>0</v>
      </c>
      <c r="H161" s="275">
        <f t="shared" si="4"/>
        <v>0</v>
      </c>
      <c r="I161" s="333"/>
      <c r="J161" s="333"/>
      <c r="K161" s="71"/>
      <c r="L161" s="163"/>
      <c r="M161" s="49"/>
      <c r="N161" s="86"/>
      <c r="O161" s="112">
        <f>H161</f>
        <v>0</v>
      </c>
      <c r="P161" s="86"/>
      <c r="Q161" s="87"/>
      <c r="R161" s="55"/>
      <c r="S161" s="185"/>
    </row>
    <row r="162" spans="2:19" s="5" customFormat="1">
      <c r="B162" s="294"/>
      <c r="C162" s="826"/>
      <c r="D162" s="119" t="s">
        <v>5</v>
      </c>
      <c r="E162" s="469" t="s">
        <v>35</v>
      </c>
      <c r="F162" s="331">
        <f>E157/5*2</f>
        <v>286691.61600000004</v>
      </c>
      <c r="G162" s="275">
        <f>$H$4</f>
        <v>0</v>
      </c>
      <c r="H162" s="275">
        <f t="shared" si="4"/>
        <v>0</v>
      </c>
      <c r="I162" s="333"/>
      <c r="J162" s="333"/>
      <c r="K162" s="71"/>
      <c r="L162" s="163"/>
      <c r="M162" s="49"/>
      <c r="N162" s="86"/>
      <c r="O162" s="112">
        <f>H162</f>
        <v>0</v>
      </c>
      <c r="P162" s="86"/>
      <c r="Q162" s="87"/>
      <c r="R162" s="55"/>
      <c r="S162" s="185"/>
    </row>
    <row r="163" spans="2:19" s="5" customFormat="1">
      <c r="B163" s="294"/>
      <c r="C163" s="826"/>
      <c r="D163" s="119" t="s">
        <v>50</v>
      </c>
      <c r="E163" s="467" t="s">
        <v>33</v>
      </c>
      <c r="F163" s="331">
        <f>E157</f>
        <v>716729.04</v>
      </c>
      <c r="G163" s="276">
        <v>0.2</v>
      </c>
      <c r="H163" s="275">
        <f t="shared" si="4"/>
        <v>143345.80800000002</v>
      </c>
      <c r="I163" s="333"/>
      <c r="J163" s="333"/>
      <c r="K163" s="71"/>
      <c r="L163" s="163"/>
      <c r="M163" s="49"/>
      <c r="N163" s="86"/>
      <c r="O163" s="112"/>
      <c r="P163" s="86">
        <f>SUM(H163)</f>
        <v>143345.80800000002</v>
      </c>
      <c r="Q163" s="87"/>
      <c r="R163" s="55"/>
      <c r="S163" s="185"/>
    </row>
    <row r="164" spans="2:19" s="5" customFormat="1">
      <c r="B164" s="294"/>
      <c r="C164" s="826"/>
      <c r="D164" s="119" t="s">
        <v>36</v>
      </c>
      <c r="E164" s="469" t="s">
        <v>21</v>
      </c>
      <c r="F164" s="347">
        <f>G158+G159+G163</f>
        <v>6.4</v>
      </c>
      <c r="G164" s="336" t="s">
        <v>37</v>
      </c>
      <c r="H164" s="275">
        <f>SUM(H158:H163)</f>
        <v>4733669.5232727276</v>
      </c>
      <c r="I164" s="332"/>
      <c r="J164" s="333"/>
      <c r="K164" s="71"/>
      <c r="L164" s="163"/>
      <c r="M164" s="49"/>
      <c r="N164" s="114"/>
      <c r="O164" s="115"/>
      <c r="P164" s="112"/>
      <c r="Q164" s="87"/>
      <c r="R164" s="55"/>
      <c r="S164" s="185"/>
    </row>
    <row r="165" spans="2:19" s="5" customFormat="1">
      <c r="B165" s="294"/>
      <c r="C165" s="826"/>
      <c r="D165" s="131" t="s">
        <v>38</v>
      </c>
      <c r="E165" s="469" t="s">
        <v>21</v>
      </c>
      <c r="F165" s="331">
        <f>SUM(H158:H163)</f>
        <v>4733669.5232727276</v>
      </c>
      <c r="G165" s="337">
        <f>$G$21</f>
        <v>8.3299999999999999E-2</v>
      </c>
      <c r="H165" s="275">
        <f>+G165*F165</f>
        <v>394314.67128861818</v>
      </c>
      <c r="I165" s="338"/>
      <c r="J165" s="338"/>
      <c r="K165" s="71"/>
      <c r="L165" s="163"/>
      <c r="M165" s="49"/>
      <c r="N165" s="86"/>
      <c r="O165" s="117"/>
      <c r="P165" s="97">
        <f>H165</f>
        <v>394314.67128861818</v>
      </c>
      <c r="Q165" s="105"/>
      <c r="R165" s="55"/>
      <c r="S165" s="185"/>
    </row>
    <row r="166" spans="2:19" s="5" customFormat="1">
      <c r="B166" s="294"/>
      <c r="C166" s="826"/>
      <c r="D166" s="131" t="s">
        <v>39</v>
      </c>
      <c r="E166" s="470">
        <f>F165/(5*F164)</f>
        <v>147927.17260227274</v>
      </c>
      <c r="F166" s="331">
        <f>E166*(F164*7)</f>
        <v>6627137.332581819</v>
      </c>
      <c r="G166" s="339">
        <f>$G$22</f>
        <v>20</v>
      </c>
      <c r="H166" s="275">
        <f>F166/G166</f>
        <v>331356.86662909098</v>
      </c>
      <c r="I166" s="340">
        <v>0</v>
      </c>
      <c r="J166" s="340"/>
      <c r="K166" s="71">
        <f>SUM(G158:G166)</f>
        <v>32.4833</v>
      </c>
      <c r="L166" s="163"/>
      <c r="M166" s="49"/>
      <c r="N166" s="86"/>
      <c r="O166" s="117"/>
      <c r="P166" s="97">
        <f>H166</f>
        <v>331356.86662909098</v>
      </c>
      <c r="Q166" s="105"/>
      <c r="R166" s="55"/>
      <c r="S166" s="185"/>
    </row>
    <row r="167" spans="2:19" s="5" customFormat="1">
      <c r="B167" s="297"/>
      <c r="C167" s="826"/>
      <c r="D167" s="131" t="s">
        <v>354</v>
      </c>
      <c r="E167" s="470">
        <v>8.3333333333333329E-2</v>
      </c>
      <c r="F167" s="331">
        <f>H166</f>
        <v>331356.86662909098</v>
      </c>
      <c r="G167" s="439">
        <v>1</v>
      </c>
      <c r="H167" s="275">
        <f>F167*E167</f>
        <v>27613.072219090915</v>
      </c>
      <c r="I167" s="340">
        <v>0</v>
      </c>
      <c r="J167" s="340">
        <f>SUM(H164:H167)</f>
        <v>5486954.1334095271</v>
      </c>
      <c r="K167" s="71">
        <f>SUM(G159:G167)</f>
        <v>33.283299999999997</v>
      </c>
      <c r="L167" s="163"/>
      <c r="M167" s="49"/>
      <c r="N167" s="86"/>
      <c r="O167" s="117"/>
      <c r="P167" s="97">
        <f>H167</f>
        <v>27613.072219090915</v>
      </c>
      <c r="Q167" s="105"/>
      <c r="R167" s="55"/>
      <c r="S167" s="185"/>
    </row>
    <row r="168" spans="2:19" s="5" customFormat="1">
      <c r="B168" s="294"/>
      <c r="C168" s="826"/>
      <c r="D168" s="119"/>
      <c r="E168" s="471"/>
      <c r="F168" s="341"/>
      <c r="G168" s="342"/>
      <c r="H168" s="343"/>
      <c r="I168" s="333"/>
      <c r="J168" s="333"/>
      <c r="K168" s="71"/>
      <c r="L168" s="163"/>
      <c r="M168" s="49"/>
      <c r="N168" s="103"/>
      <c r="O168" s="104"/>
      <c r="P168" s="104"/>
      <c r="Q168" s="105"/>
      <c r="R168" s="55"/>
      <c r="S168" s="185"/>
    </row>
    <row r="169" spans="2:19" s="5" customFormat="1" ht="15" customHeight="1">
      <c r="B169" s="398">
        <v>15</v>
      </c>
      <c r="C169" s="1006">
        <v>1</v>
      </c>
      <c r="D169" s="122" t="s">
        <v>52</v>
      </c>
      <c r="E169" s="467">
        <f>'SICA a Marzo2026'!E19</f>
        <v>604155.24</v>
      </c>
      <c r="F169" s="341"/>
      <c r="G169" s="344"/>
      <c r="H169" s="345"/>
      <c r="I169" s="346"/>
      <c r="J169" s="346"/>
      <c r="L169" s="163"/>
      <c r="M169" s="16"/>
      <c r="N169" s="103"/>
      <c r="O169" s="104"/>
      <c r="P169" s="104"/>
      <c r="Q169" s="105"/>
      <c r="R169" s="22"/>
      <c r="S169" s="185"/>
    </row>
    <row r="170" spans="2:19" s="5" customFormat="1">
      <c r="B170" s="294"/>
      <c r="C170" s="826"/>
      <c r="D170" s="119" t="s">
        <v>49</v>
      </c>
      <c r="E170" s="467" t="s">
        <v>33</v>
      </c>
      <c r="F170" s="331">
        <f>E169</f>
        <v>604155.24</v>
      </c>
      <c r="G170" s="276">
        <v>0.2</v>
      </c>
      <c r="H170" s="275">
        <f>+G170*F170</f>
        <v>120831.04800000001</v>
      </c>
      <c r="I170" s="333"/>
      <c r="J170" s="333"/>
      <c r="K170" s="71"/>
      <c r="L170" s="163"/>
      <c r="M170" s="49"/>
      <c r="N170" s="86">
        <f>H170</f>
        <v>120831.04800000001</v>
      </c>
      <c r="O170" s="112"/>
      <c r="P170" s="86"/>
      <c r="Q170" s="87"/>
      <c r="R170" s="55"/>
      <c r="S170" s="185"/>
    </row>
    <row r="171" spans="2:19" s="5" customFormat="1">
      <c r="B171" s="294"/>
      <c r="C171" s="826"/>
      <c r="D171" s="119" t="s">
        <v>4</v>
      </c>
      <c r="E171" s="467" t="s">
        <v>33</v>
      </c>
      <c r="F171" s="331">
        <f>E169</f>
        <v>604155.24</v>
      </c>
      <c r="G171" s="275">
        <f>$F$4</f>
        <v>6</v>
      </c>
      <c r="H171" s="275">
        <f>+G171*F171</f>
        <v>3624931.44</v>
      </c>
      <c r="I171" s="333"/>
      <c r="J171" s="333"/>
      <c r="K171" s="71"/>
      <c r="L171" s="163"/>
      <c r="M171" s="49"/>
      <c r="N171" s="86"/>
      <c r="O171" s="112">
        <f>H171</f>
        <v>3624931.44</v>
      </c>
      <c r="P171" s="86"/>
      <c r="Q171" s="87"/>
      <c r="R171" s="55"/>
      <c r="S171" s="185"/>
    </row>
    <row r="172" spans="2:19" s="5" customFormat="1">
      <c r="B172" s="294"/>
      <c r="C172" s="826"/>
      <c r="D172" s="119" t="s">
        <v>34</v>
      </c>
      <c r="E172" s="468">
        <f>$H$5+2</f>
        <v>13.25</v>
      </c>
      <c r="F172" s="331">
        <f>E169/44*1.5</f>
        <v>20596.201363636363</v>
      </c>
      <c r="G172" s="334">
        <f>$F$4</f>
        <v>6</v>
      </c>
      <c r="H172" s="275">
        <f>+G172*F172*E172</f>
        <v>1637398.0084090908</v>
      </c>
      <c r="I172" s="333"/>
      <c r="J172" s="333"/>
      <c r="K172" s="71"/>
      <c r="L172" s="163"/>
      <c r="M172" s="49"/>
      <c r="N172" s="86"/>
      <c r="O172" s="112">
        <f>H172</f>
        <v>1637398.0084090908</v>
      </c>
      <c r="P172" s="86"/>
      <c r="Q172" s="87"/>
      <c r="R172" s="55"/>
      <c r="S172" s="185"/>
    </row>
    <row r="173" spans="2:19" s="5" customFormat="1">
      <c r="B173" s="294"/>
      <c r="C173" s="826"/>
      <c r="D173" s="119" t="s">
        <v>1</v>
      </c>
      <c r="E173" s="469" t="s">
        <v>35</v>
      </c>
      <c r="F173" s="331">
        <f>E169/5*1.5</f>
        <v>181246.57199999999</v>
      </c>
      <c r="G173" s="275">
        <f>$H$3</f>
        <v>0</v>
      </c>
      <c r="H173" s="275">
        <f>+G173*F173</f>
        <v>0</v>
      </c>
      <c r="I173" s="333"/>
      <c r="J173" s="333"/>
      <c r="K173" s="71"/>
      <c r="L173" s="163"/>
      <c r="M173" s="49"/>
      <c r="N173" s="86"/>
      <c r="O173" s="112">
        <f>H173</f>
        <v>0</v>
      </c>
      <c r="P173" s="86"/>
      <c r="Q173" s="87"/>
      <c r="R173" s="55"/>
      <c r="S173" s="185"/>
    </row>
    <row r="174" spans="2:19" s="5" customFormat="1">
      <c r="B174" s="294"/>
      <c r="C174" s="826"/>
      <c r="D174" s="119" t="s">
        <v>5</v>
      </c>
      <c r="E174" s="469" t="s">
        <v>35</v>
      </c>
      <c r="F174" s="331">
        <f>E169/5*2</f>
        <v>241662.09599999999</v>
      </c>
      <c r="G174" s="275">
        <f>$H$4</f>
        <v>0</v>
      </c>
      <c r="H174" s="275">
        <f>+G174*F174</f>
        <v>0</v>
      </c>
      <c r="I174" s="333"/>
      <c r="J174" s="333"/>
      <c r="K174" s="71"/>
      <c r="L174" s="163"/>
      <c r="M174" s="49"/>
      <c r="N174" s="86"/>
      <c r="O174" s="112">
        <f>H174</f>
        <v>0</v>
      </c>
      <c r="P174" s="86"/>
      <c r="Q174" s="87"/>
      <c r="R174" s="55"/>
      <c r="S174" s="185"/>
    </row>
    <row r="175" spans="2:19" s="5" customFormat="1">
      <c r="B175" s="294"/>
      <c r="C175" s="826"/>
      <c r="D175" s="119" t="s">
        <v>50</v>
      </c>
      <c r="E175" s="467" t="s">
        <v>33</v>
      </c>
      <c r="F175" s="331">
        <f>E169</f>
        <v>604155.24</v>
      </c>
      <c r="G175" s="276">
        <v>0.2</v>
      </c>
      <c r="H175" s="275">
        <f>+G175*F175</f>
        <v>120831.04800000001</v>
      </c>
      <c r="I175" s="333"/>
      <c r="J175" s="333"/>
      <c r="K175" s="71"/>
      <c r="L175" s="163"/>
      <c r="M175" s="49"/>
      <c r="N175" s="86"/>
      <c r="O175" s="112"/>
      <c r="P175" s="86">
        <f>SUM(H175)</f>
        <v>120831.04800000001</v>
      </c>
      <c r="Q175" s="87"/>
      <c r="R175" s="55"/>
      <c r="S175" s="185"/>
    </row>
    <row r="176" spans="2:19" s="5" customFormat="1">
      <c r="B176" s="294"/>
      <c r="C176" s="826"/>
      <c r="D176" s="119" t="s">
        <v>36</v>
      </c>
      <c r="E176" s="469" t="s">
        <v>21</v>
      </c>
      <c r="F176" s="347">
        <f>G170+G171+G175</f>
        <v>6.4</v>
      </c>
      <c r="G176" s="336" t="s">
        <v>37</v>
      </c>
      <c r="H176" s="275">
        <f>SUM(H170:H175)</f>
        <v>5503991.5444090907</v>
      </c>
      <c r="I176" s="332"/>
      <c r="J176" s="333"/>
      <c r="K176" s="71"/>
      <c r="L176" s="163"/>
      <c r="M176" s="49"/>
      <c r="N176" s="114"/>
      <c r="O176" s="115"/>
      <c r="P176" s="112"/>
      <c r="Q176" s="87"/>
      <c r="R176" s="55"/>
      <c r="S176" s="185"/>
    </row>
    <row r="177" spans="2:19" s="5" customFormat="1">
      <c r="B177" s="294"/>
      <c r="C177" s="826"/>
      <c r="D177" s="131" t="s">
        <v>38</v>
      </c>
      <c r="E177" s="469" t="s">
        <v>21</v>
      </c>
      <c r="F177" s="331">
        <f>SUM(H170:H175)</f>
        <v>5503991.5444090907</v>
      </c>
      <c r="G177" s="337">
        <f>$G$21</f>
        <v>8.3299999999999999E-2</v>
      </c>
      <c r="H177" s="275">
        <f>+G177*F177</f>
        <v>458482.49564927723</v>
      </c>
      <c r="I177" s="338"/>
      <c r="J177" s="338"/>
      <c r="K177" s="71"/>
      <c r="L177" s="163"/>
      <c r="M177" s="49"/>
      <c r="N177" s="86"/>
      <c r="O177" s="117"/>
      <c r="P177" s="97">
        <f>H177</f>
        <v>458482.49564927723</v>
      </c>
      <c r="Q177" s="105"/>
      <c r="R177" s="55"/>
      <c r="S177" s="185"/>
    </row>
    <row r="178" spans="2:19" s="5" customFormat="1">
      <c r="B178" s="294"/>
      <c r="C178" s="826"/>
      <c r="D178" s="131" t="s">
        <v>39</v>
      </c>
      <c r="E178" s="470">
        <f>F177/(5*F176)</f>
        <v>171999.73576278408</v>
      </c>
      <c r="F178" s="331">
        <f>E178*(F176*7)</f>
        <v>7705588.1621727273</v>
      </c>
      <c r="G178" s="339">
        <f>$G$22</f>
        <v>20</v>
      </c>
      <c r="H178" s="275">
        <f>F178/G178</f>
        <v>385279.40810863639</v>
      </c>
      <c r="I178" s="340">
        <v>0</v>
      </c>
      <c r="J178" s="340"/>
      <c r="K178" s="71">
        <f>SUM(G170:G178)</f>
        <v>32.4833</v>
      </c>
      <c r="L178" s="163"/>
      <c r="M178" s="49"/>
      <c r="N178" s="86"/>
      <c r="O178" s="117"/>
      <c r="P178" s="97">
        <f>H178</f>
        <v>385279.40810863639</v>
      </c>
      <c r="Q178" s="105"/>
      <c r="R178" s="55"/>
      <c r="S178" s="185"/>
    </row>
    <row r="179" spans="2:19" s="5" customFormat="1">
      <c r="B179" s="297"/>
      <c r="C179" s="826"/>
      <c r="D179" s="131" t="s">
        <v>354</v>
      </c>
      <c r="E179" s="470">
        <v>8.3333333333333329E-2</v>
      </c>
      <c r="F179" s="331">
        <f>H178</f>
        <v>385279.40810863639</v>
      </c>
      <c r="G179" s="439">
        <v>1</v>
      </c>
      <c r="H179" s="275">
        <f>F179*E179</f>
        <v>32106.617342386366</v>
      </c>
      <c r="I179" s="340">
        <v>0</v>
      </c>
      <c r="J179" s="340">
        <f>SUM(H176:H179)</f>
        <v>6379860.065509391</v>
      </c>
      <c r="K179" s="71">
        <f>SUM(G171:G179)</f>
        <v>33.283299999999997</v>
      </c>
      <c r="L179" s="163"/>
      <c r="M179" s="49"/>
      <c r="N179" s="86"/>
      <c r="O179" s="117"/>
      <c r="P179" s="97">
        <f>H179</f>
        <v>32106.617342386366</v>
      </c>
      <c r="Q179" s="105"/>
      <c r="R179" s="55"/>
      <c r="S179" s="185"/>
    </row>
    <row r="180" spans="2:19" s="5" customFormat="1">
      <c r="B180" s="294"/>
      <c r="C180" s="826"/>
      <c r="D180" s="119"/>
      <c r="E180" s="471"/>
      <c r="F180" s="341"/>
      <c r="G180" s="342"/>
      <c r="H180" s="343"/>
      <c r="I180" s="333"/>
      <c r="J180" s="333"/>
      <c r="K180" s="71"/>
      <c r="L180" s="163"/>
      <c r="M180" s="49"/>
      <c r="N180" s="103"/>
      <c r="O180" s="104"/>
      <c r="P180" s="104"/>
      <c r="Q180" s="105"/>
      <c r="R180" s="55"/>
      <c r="S180" s="185"/>
    </row>
    <row r="181" spans="2:19" s="5" customFormat="1" ht="15" customHeight="1">
      <c r="B181" s="398">
        <v>16</v>
      </c>
      <c r="C181" s="1006">
        <v>1</v>
      </c>
      <c r="D181" s="122" t="s">
        <v>53</v>
      </c>
      <c r="E181" s="467">
        <f>'SICA a Marzo2026'!E20</f>
        <v>472533.48</v>
      </c>
      <c r="F181" s="341"/>
      <c r="G181" s="344"/>
      <c r="H181" s="345"/>
      <c r="I181" s="346"/>
      <c r="J181" s="346"/>
      <c r="L181" s="163"/>
      <c r="M181" s="16"/>
      <c r="N181" s="103"/>
      <c r="O181" s="104"/>
      <c r="P181" s="104"/>
      <c r="Q181" s="105"/>
      <c r="R181" s="22"/>
      <c r="S181" s="185"/>
    </row>
    <row r="182" spans="2:19" s="5" customFormat="1">
      <c r="B182" s="294"/>
      <c r="C182" s="826"/>
      <c r="D182" s="119" t="s">
        <v>49</v>
      </c>
      <c r="E182" s="467" t="s">
        <v>33</v>
      </c>
      <c r="F182" s="331">
        <f>E181</f>
        <v>472533.48</v>
      </c>
      <c r="G182" s="276">
        <v>0.2</v>
      </c>
      <c r="H182" s="275">
        <f>+G182*F182</f>
        <v>94506.695999999996</v>
      </c>
      <c r="I182" s="333"/>
      <c r="J182" s="333"/>
      <c r="K182" s="71"/>
      <c r="L182" s="163"/>
      <c r="M182" s="49"/>
      <c r="N182" s="86">
        <f>H182</f>
        <v>94506.695999999996</v>
      </c>
      <c r="O182" s="112"/>
      <c r="P182" s="86"/>
      <c r="Q182" s="87"/>
      <c r="R182" s="55"/>
      <c r="S182" s="185"/>
    </row>
    <row r="183" spans="2:19" s="5" customFormat="1">
      <c r="B183" s="294"/>
      <c r="C183" s="826"/>
      <c r="D183" s="119" t="s">
        <v>4</v>
      </c>
      <c r="E183" s="467" t="s">
        <v>33</v>
      </c>
      <c r="F183" s="331">
        <f>E181</f>
        <v>472533.48</v>
      </c>
      <c r="G183" s="275">
        <f>$F$4</f>
        <v>6</v>
      </c>
      <c r="H183" s="275">
        <f>+G183*F183</f>
        <v>2835200.88</v>
      </c>
      <c r="I183" s="333"/>
      <c r="J183" s="333"/>
      <c r="K183" s="71"/>
      <c r="L183" s="163"/>
      <c r="M183" s="49"/>
      <c r="N183" s="86"/>
      <c r="O183" s="112">
        <f>H183</f>
        <v>2835200.88</v>
      </c>
      <c r="P183" s="86"/>
      <c r="Q183" s="87"/>
      <c r="R183" s="55"/>
      <c r="S183" s="185"/>
    </row>
    <row r="184" spans="2:19" s="5" customFormat="1">
      <c r="B184" s="294"/>
      <c r="C184" s="826"/>
      <c r="D184" s="119" t="s">
        <v>34</v>
      </c>
      <c r="E184" s="468">
        <f>$H$5+2</f>
        <v>13.25</v>
      </c>
      <c r="F184" s="331">
        <f>E181/44*1.5</f>
        <v>16109.095909090909</v>
      </c>
      <c r="G184" s="334">
        <f>$F$4</f>
        <v>6</v>
      </c>
      <c r="H184" s="275">
        <f>+G184*F184*E184</f>
        <v>1280673.1247727273</v>
      </c>
      <c r="I184" s="333"/>
      <c r="J184" s="333"/>
      <c r="K184" s="71"/>
      <c r="L184" s="163"/>
      <c r="M184" s="49"/>
      <c r="N184" s="86"/>
      <c r="O184" s="112">
        <f>H184</f>
        <v>1280673.1247727273</v>
      </c>
      <c r="P184" s="86"/>
      <c r="Q184" s="87"/>
      <c r="R184" s="55"/>
      <c r="S184" s="185"/>
    </row>
    <row r="185" spans="2:19" s="5" customFormat="1">
      <c r="B185" s="294"/>
      <c r="C185" s="826"/>
      <c r="D185" s="119" t="s">
        <v>1</v>
      </c>
      <c r="E185" s="469" t="s">
        <v>35</v>
      </c>
      <c r="F185" s="331">
        <f>E181/5*1.5</f>
        <v>141760.04399999999</v>
      </c>
      <c r="G185" s="275">
        <f>$H$3</f>
        <v>0</v>
      </c>
      <c r="H185" s="275">
        <f>+G185*F185</f>
        <v>0</v>
      </c>
      <c r="I185" s="333"/>
      <c r="J185" s="333"/>
      <c r="K185" s="71"/>
      <c r="L185" s="163"/>
      <c r="M185" s="49"/>
      <c r="N185" s="86"/>
      <c r="O185" s="112">
        <f>H185</f>
        <v>0</v>
      </c>
      <c r="P185" s="86"/>
      <c r="Q185" s="87"/>
      <c r="R185" s="55"/>
      <c r="S185" s="185"/>
    </row>
    <row r="186" spans="2:19" s="5" customFormat="1">
      <c r="B186" s="294"/>
      <c r="C186" s="826"/>
      <c r="D186" s="119" t="s">
        <v>5</v>
      </c>
      <c r="E186" s="469" t="s">
        <v>35</v>
      </c>
      <c r="F186" s="331">
        <f>E181/5*2</f>
        <v>189013.39199999999</v>
      </c>
      <c r="G186" s="275">
        <f>$H$4</f>
        <v>0</v>
      </c>
      <c r="H186" s="275">
        <f>+G186*F186</f>
        <v>0</v>
      </c>
      <c r="I186" s="333"/>
      <c r="J186" s="333"/>
      <c r="K186" s="71"/>
      <c r="L186" s="163"/>
      <c r="M186" s="49"/>
      <c r="N186" s="86"/>
      <c r="O186" s="112">
        <f>H186</f>
        <v>0</v>
      </c>
      <c r="P186" s="86"/>
      <c r="Q186" s="87"/>
      <c r="R186" s="55"/>
      <c r="S186" s="185"/>
    </row>
    <row r="187" spans="2:19" s="5" customFormat="1">
      <c r="B187" s="294"/>
      <c r="C187" s="826"/>
      <c r="D187" s="119" t="s">
        <v>50</v>
      </c>
      <c r="E187" s="467" t="s">
        <v>33</v>
      </c>
      <c r="F187" s="331">
        <f>E181</f>
        <v>472533.48</v>
      </c>
      <c r="G187" s="276">
        <v>0.2</v>
      </c>
      <c r="H187" s="275">
        <f>+G187*F187</f>
        <v>94506.695999999996</v>
      </c>
      <c r="I187" s="333"/>
      <c r="J187" s="333"/>
      <c r="K187" s="71"/>
      <c r="L187" s="163"/>
      <c r="M187" s="49"/>
      <c r="N187" s="86"/>
      <c r="O187" s="112"/>
      <c r="P187" s="86">
        <f>SUM(H187)</f>
        <v>94506.695999999996</v>
      </c>
      <c r="Q187" s="87"/>
      <c r="R187" s="55"/>
      <c r="S187" s="185"/>
    </row>
    <row r="188" spans="2:19" s="5" customFormat="1">
      <c r="B188" s="294"/>
      <c r="C188" s="826"/>
      <c r="D188" s="119" t="s">
        <v>36</v>
      </c>
      <c r="E188" s="469" t="s">
        <v>21</v>
      </c>
      <c r="F188" s="347">
        <f>G182+G183+G187</f>
        <v>6.4</v>
      </c>
      <c r="G188" s="336" t="s">
        <v>37</v>
      </c>
      <c r="H188" s="275">
        <f>SUM(H182:H187)</f>
        <v>4304887.3967727274</v>
      </c>
      <c r="I188" s="332"/>
      <c r="J188" s="333"/>
      <c r="K188" s="71"/>
      <c r="L188" s="163"/>
      <c r="M188" s="49"/>
      <c r="N188" s="114"/>
      <c r="O188" s="115"/>
      <c r="P188" s="112"/>
      <c r="Q188" s="87"/>
      <c r="R188" s="55"/>
      <c r="S188" s="185"/>
    </row>
    <row r="189" spans="2:19" s="5" customFormat="1">
      <c r="B189" s="294"/>
      <c r="C189" s="826"/>
      <c r="D189" s="131" t="s">
        <v>38</v>
      </c>
      <c r="E189" s="469" t="s">
        <v>21</v>
      </c>
      <c r="F189" s="331">
        <f>SUM(H182:H187)</f>
        <v>4304887.3967727274</v>
      </c>
      <c r="G189" s="337">
        <f>$G$21</f>
        <v>8.3299999999999999E-2</v>
      </c>
      <c r="H189" s="275">
        <f>+G189*F189</f>
        <v>358597.1201511682</v>
      </c>
      <c r="I189" s="338"/>
      <c r="J189" s="338"/>
      <c r="K189" s="71"/>
      <c r="L189" s="163"/>
      <c r="M189" s="49"/>
      <c r="N189" s="86"/>
      <c r="O189" s="117"/>
      <c r="P189" s="97">
        <f>H189</f>
        <v>358597.1201511682</v>
      </c>
      <c r="Q189" s="105"/>
      <c r="R189" s="55"/>
      <c r="S189" s="185"/>
    </row>
    <row r="190" spans="2:19" s="5" customFormat="1">
      <c r="B190" s="294"/>
      <c r="C190" s="826"/>
      <c r="D190" s="131" t="s">
        <v>39</v>
      </c>
      <c r="E190" s="470">
        <f>F189/(5*F188)</f>
        <v>134527.73114914773</v>
      </c>
      <c r="F190" s="331">
        <f>E190*(F188*7)</f>
        <v>6026842.3554818192</v>
      </c>
      <c r="G190" s="339">
        <f>$G$22</f>
        <v>20</v>
      </c>
      <c r="H190" s="275">
        <f>F190/G190</f>
        <v>301342.11777409096</v>
      </c>
      <c r="I190" s="340">
        <v>0</v>
      </c>
      <c r="J190" s="340"/>
      <c r="K190" s="71">
        <f>SUM(G182:G190)</f>
        <v>32.4833</v>
      </c>
      <c r="L190" s="163"/>
      <c r="M190" s="49"/>
      <c r="N190" s="86"/>
      <c r="O190" s="117"/>
      <c r="P190" s="97">
        <f>H190</f>
        <v>301342.11777409096</v>
      </c>
      <c r="Q190" s="105"/>
      <c r="R190" s="55"/>
      <c r="S190" s="185"/>
    </row>
    <row r="191" spans="2:19" s="5" customFormat="1">
      <c r="B191" s="297"/>
      <c r="C191" s="826"/>
      <c r="D191" s="131" t="s">
        <v>354</v>
      </c>
      <c r="E191" s="470">
        <v>8.3333333333333329E-2</v>
      </c>
      <c r="F191" s="331">
        <f>H190</f>
        <v>301342.11777409096</v>
      </c>
      <c r="G191" s="439">
        <v>1</v>
      </c>
      <c r="H191" s="275">
        <f>F191*E191</f>
        <v>25111.843147840911</v>
      </c>
      <c r="I191" s="340">
        <v>0</v>
      </c>
      <c r="J191" s="340">
        <f>SUM(H188:H191)</f>
        <v>4989938.4778458271</v>
      </c>
      <c r="K191" s="71">
        <f>SUM(G183:G191)</f>
        <v>33.283299999999997</v>
      </c>
      <c r="L191" s="163"/>
      <c r="M191" s="49"/>
      <c r="N191" s="86"/>
      <c r="O191" s="117"/>
      <c r="P191" s="97">
        <f>H191</f>
        <v>25111.843147840911</v>
      </c>
      <c r="Q191" s="105"/>
      <c r="R191" s="55"/>
      <c r="S191" s="185"/>
    </row>
    <row r="192" spans="2:19" s="5" customFormat="1">
      <c r="B192" s="294"/>
      <c r="C192" s="826"/>
      <c r="D192" s="119"/>
      <c r="E192" s="472"/>
      <c r="F192" s="341"/>
      <c r="G192" s="342"/>
      <c r="H192" s="343"/>
      <c r="I192" s="333"/>
      <c r="J192" s="333"/>
      <c r="K192" s="71"/>
      <c r="L192" s="163"/>
      <c r="M192" s="49"/>
      <c r="N192" s="103"/>
      <c r="O192" s="104"/>
      <c r="P192" s="104"/>
      <c r="Q192" s="105"/>
      <c r="R192" s="55"/>
      <c r="S192" s="185"/>
    </row>
    <row r="193" spans="2:19" s="5" customFormat="1" ht="15" customHeight="1">
      <c r="B193" s="398">
        <v>17</v>
      </c>
      <c r="C193" s="1006">
        <v>1</v>
      </c>
      <c r="D193" s="122" t="s">
        <v>54</v>
      </c>
      <c r="E193" s="467">
        <f>'SICA a Marzo2026'!E21</f>
        <v>604155.24</v>
      </c>
      <c r="F193" s="341"/>
      <c r="G193" s="344"/>
      <c r="H193" s="345"/>
      <c r="I193" s="346"/>
      <c r="J193" s="346"/>
      <c r="L193" s="163"/>
      <c r="M193" s="16"/>
      <c r="N193" s="103"/>
      <c r="O193" s="104"/>
      <c r="P193" s="104"/>
      <c r="Q193" s="105"/>
      <c r="R193" s="22"/>
      <c r="S193" s="185"/>
    </row>
    <row r="194" spans="2:19" s="5" customFormat="1">
      <c r="B194" s="294"/>
      <c r="C194" s="826"/>
      <c r="D194" s="119" t="s">
        <v>261</v>
      </c>
      <c r="E194" s="467" t="s">
        <v>33</v>
      </c>
      <c r="F194" s="331">
        <f>E193</f>
        <v>604155.24</v>
      </c>
      <c r="G194" s="276">
        <v>0.4</v>
      </c>
      <c r="H194" s="275">
        <f>+G194*F194</f>
        <v>241662.09600000002</v>
      </c>
      <c r="I194" s="333"/>
      <c r="J194" s="333"/>
      <c r="K194" s="71"/>
      <c r="L194" s="163"/>
      <c r="M194" s="49"/>
      <c r="N194" s="86">
        <f>H194</f>
        <v>241662.09600000002</v>
      </c>
      <c r="O194" s="112"/>
      <c r="P194" s="86"/>
      <c r="Q194" s="87"/>
      <c r="R194" s="55"/>
      <c r="S194" s="185"/>
    </row>
    <row r="195" spans="2:19" s="5" customFormat="1">
      <c r="B195" s="294"/>
      <c r="C195" s="826"/>
      <c r="D195" s="119" t="s">
        <v>4</v>
      </c>
      <c r="E195" s="467" t="s">
        <v>33</v>
      </c>
      <c r="F195" s="331">
        <f>E193</f>
        <v>604155.24</v>
      </c>
      <c r="G195" s="275">
        <f>$F$4</f>
        <v>6</v>
      </c>
      <c r="H195" s="275">
        <f>+G195*F195</f>
        <v>3624931.44</v>
      </c>
      <c r="I195" s="333"/>
      <c r="J195" s="333"/>
      <c r="K195" s="71"/>
      <c r="L195" s="163"/>
      <c r="M195" s="49"/>
      <c r="N195" s="86"/>
      <c r="O195" s="112">
        <f>H195</f>
        <v>3624931.44</v>
      </c>
      <c r="P195" s="86"/>
      <c r="Q195" s="87"/>
      <c r="R195" s="55"/>
      <c r="S195" s="185"/>
    </row>
    <row r="196" spans="2:19" s="5" customFormat="1">
      <c r="B196" s="294"/>
      <c r="C196" s="826"/>
      <c r="D196" s="119" t="s">
        <v>34</v>
      </c>
      <c r="E196" s="468">
        <f>$H$5+2</f>
        <v>13.25</v>
      </c>
      <c r="F196" s="331">
        <f>E193/44*1.5</f>
        <v>20596.201363636363</v>
      </c>
      <c r="G196" s="334">
        <f>$F$4</f>
        <v>6</v>
      </c>
      <c r="H196" s="275">
        <f>+G196*F196*E196</f>
        <v>1637398.0084090908</v>
      </c>
      <c r="I196" s="333"/>
      <c r="J196" s="333"/>
      <c r="K196" s="71"/>
      <c r="L196" s="163"/>
      <c r="M196" s="49"/>
      <c r="N196" s="86"/>
      <c r="O196" s="112">
        <f>H196</f>
        <v>1637398.0084090908</v>
      </c>
      <c r="P196" s="86"/>
      <c r="Q196" s="87"/>
      <c r="R196" s="55"/>
      <c r="S196" s="185"/>
    </row>
    <row r="197" spans="2:19" s="5" customFormat="1">
      <c r="B197" s="294"/>
      <c r="C197" s="826"/>
      <c r="D197" s="119" t="s">
        <v>1</v>
      </c>
      <c r="E197" s="469" t="s">
        <v>35</v>
      </c>
      <c r="F197" s="331">
        <f>E193/5*1.5</f>
        <v>181246.57199999999</v>
      </c>
      <c r="G197" s="275">
        <f>$H$3</f>
        <v>0</v>
      </c>
      <c r="H197" s="275">
        <f>+G197*F197</f>
        <v>0</v>
      </c>
      <c r="I197" s="333"/>
      <c r="J197" s="333"/>
      <c r="K197" s="71"/>
      <c r="L197" s="163"/>
      <c r="M197" s="49"/>
      <c r="N197" s="86"/>
      <c r="O197" s="112">
        <f>H197</f>
        <v>0</v>
      </c>
      <c r="P197" s="86"/>
      <c r="Q197" s="87"/>
      <c r="R197" s="55"/>
      <c r="S197" s="185"/>
    </row>
    <row r="198" spans="2:19" s="5" customFormat="1">
      <c r="B198" s="294"/>
      <c r="C198" s="826"/>
      <c r="D198" s="119" t="s">
        <v>5</v>
      </c>
      <c r="E198" s="469" t="s">
        <v>35</v>
      </c>
      <c r="F198" s="331">
        <f>E193/5*2</f>
        <v>241662.09599999999</v>
      </c>
      <c r="G198" s="275">
        <f>$H$4</f>
        <v>0</v>
      </c>
      <c r="H198" s="275">
        <f>+G198*F198</f>
        <v>0</v>
      </c>
      <c r="I198" s="333"/>
      <c r="J198" s="333"/>
      <c r="K198" s="71"/>
      <c r="L198" s="163"/>
      <c r="M198" s="49"/>
      <c r="N198" s="86"/>
      <c r="O198" s="112">
        <f>H198</f>
        <v>0</v>
      </c>
      <c r="P198" s="86"/>
      <c r="Q198" s="87"/>
      <c r="R198" s="55"/>
      <c r="S198" s="185"/>
    </row>
    <row r="199" spans="2:19" s="5" customFormat="1">
      <c r="B199" s="294"/>
      <c r="C199" s="826"/>
      <c r="D199" s="119" t="s">
        <v>50</v>
      </c>
      <c r="E199" s="467" t="s">
        <v>33</v>
      </c>
      <c r="F199" s="331">
        <f>E193</f>
        <v>604155.24</v>
      </c>
      <c r="G199" s="276">
        <v>0.2</v>
      </c>
      <c r="H199" s="275">
        <f>+G199*F199</f>
        <v>120831.04800000001</v>
      </c>
      <c r="I199" s="333"/>
      <c r="J199" s="333"/>
      <c r="K199" s="71"/>
      <c r="L199" s="163"/>
      <c r="M199" s="49"/>
      <c r="N199" s="86"/>
      <c r="O199" s="112"/>
      <c r="P199" s="86">
        <f>SUM(H199)</f>
        <v>120831.04800000001</v>
      </c>
      <c r="Q199" s="87"/>
      <c r="R199" s="55"/>
      <c r="S199" s="185"/>
    </row>
    <row r="200" spans="2:19" s="5" customFormat="1">
      <c r="B200" s="294"/>
      <c r="C200" s="826"/>
      <c r="D200" s="119" t="s">
        <v>36</v>
      </c>
      <c r="E200" s="469" t="s">
        <v>21</v>
      </c>
      <c r="F200" s="347">
        <f>G194+G195+G199</f>
        <v>6.6000000000000005</v>
      </c>
      <c r="G200" s="336" t="s">
        <v>37</v>
      </c>
      <c r="H200" s="275">
        <f>SUM(H194:H199)</f>
        <v>5624822.5924090911</v>
      </c>
      <c r="I200" s="332"/>
      <c r="J200" s="333"/>
      <c r="K200" s="71"/>
      <c r="L200" s="163"/>
      <c r="M200" s="49"/>
      <c r="N200" s="114"/>
      <c r="O200" s="115"/>
      <c r="P200" s="112"/>
      <c r="Q200" s="87"/>
      <c r="R200" s="55"/>
      <c r="S200" s="185"/>
    </row>
    <row r="201" spans="2:19" s="5" customFormat="1">
      <c r="B201" s="294"/>
      <c r="C201" s="826"/>
      <c r="D201" s="131" t="s">
        <v>38</v>
      </c>
      <c r="E201" s="469" t="s">
        <v>21</v>
      </c>
      <c r="F201" s="331">
        <f>SUM(H194:H199)</f>
        <v>5624822.5924090911</v>
      </c>
      <c r="G201" s="337">
        <f>$G$21</f>
        <v>8.3299999999999999E-2</v>
      </c>
      <c r="H201" s="275">
        <f>+G201*F201</f>
        <v>468547.72194767726</v>
      </c>
      <c r="I201" s="338"/>
      <c r="J201" s="338"/>
      <c r="K201" s="71"/>
      <c r="L201" s="163"/>
      <c r="M201" s="49"/>
      <c r="N201" s="86"/>
      <c r="O201" s="117"/>
      <c r="P201" s="97">
        <f>H201</f>
        <v>468547.72194767726</v>
      </c>
      <c r="Q201" s="105"/>
      <c r="R201" s="55"/>
      <c r="S201" s="185"/>
    </row>
    <row r="202" spans="2:19" s="5" customFormat="1">
      <c r="B202" s="294"/>
      <c r="C202" s="826"/>
      <c r="D202" s="131" t="s">
        <v>39</v>
      </c>
      <c r="E202" s="470">
        <f>F201/(5*F200)</f>
        <v>170449.16946694214</v>
      </c>
      <c r="F202" s="331">
        <f>E202*(F200*7)</f>
        <v>7874751.6293727271</v>
      </c>
      <c r="G202" s="339">
        <f>$G$22</f>
        <v>20</v>
      </c>
      <c r="H202" s="275">
        <f>F202/G202</f>
        <v>393737.58146863634</v>
      </c>
      <c r="I202" s="340">
        <v>0</v>
      </c>
      <c r="J202" s="340"/>
      <c r="K202" s="71">
        <f>SUM(G194:G202)</f>
        <v>32.683300000000003</v>
      </c>
      <c r="L202" s="163"/>
      <c r="M202" s="49"/>
      <c r="N202" s="86"/>
      <c r="O202" s="117"/>
      <c r="P202" s="97">
        <f>H202</f>
        <v>393737.58146863634</v>
      </c>
      <c r="Q202" s="105"/>
      <c r="R202" s="55"/>
      <c r="S202" s="185"/>
    </row>
    <row r="203" spans="2:19" s="5" customFormat="1">
      <c r="B203" s="297"/>
      <c r="C203" s="826"/>
      <c r="D203" s="131" t="s">
        <v>354</v>
      </c>
      <c r="E203" s="470">
        <v>8.3333333333333329E-2</v>
      </c>
      <c r="F203" s="331">
        <f>H202</f>
        <v>393737.58146863634</v>
      </c>
      <c r="G203" s="439">
        <v>1</v>
      </c>
      <c r="H203" s="275">
        <f>F203*E203</f>
        <v>32811.465122386362</v>
      </c>
      <c r="I203" s="340">
        <v>0</v>
      </c>
      <c r="J203" s="340">
        <f>SUM(H200:H203)</f>
        <v>6519919.3609477915</v>
      </c>
      <c r="K203" s="71">
        <f>SUM(G195:G203)</f>
        <v>33.283299999999997</v>
      </c>
      <c r="L203" s="163"/>
      <c r="M203" s="49"/>
      <c r="N203" s="86"/>
      <c r="O203" s="117"/>
      <c r="P203" s="97">
        <f>H203</f>
        <v>32811.465122386362</v>
      </c>
      <c r="Q203" s="105"/>
      <c r="R203" s="55"/>
      <c r="S203" s="185"/>
    </row>
    <row r="204" spans="2:19" s="5" customFormat="1">
      <c r="B204" s="294"/>
      <c r="C204" s="826"/>
      <c r="D204" s="119"/>
      <c r="E204" s="472"/>
      <c r="F204" s="341"/>
      <c r="G204" s="342"/>
      <c r="H204" s="343"/>
      <c r="I204" s="333"/>
      <c r="J204" s="333"/>
      <c r="K204" s="71"/>
      <c r="L204" s="163"/>
      <c r="M204" s="49"/>
      <c r="N204" s="103"/>
      <c r="O204" s="104"/>
      <c r="P204" s="104"/>
      <c r="Q204" s="105"/>
      <c r="R204" s="55"/>
      <c r="S204" s="185"/>
    </row>
    <row r="205" spans="2:19" s="5" customFormat="1" ht="15" customHeight="1">
      <c r="B205" s="398">
        <v>18</v>
      </c>
      <c r="C205" s="1006">
        <v>1</v>
      </c>
      <c r="D205" s="122" t="s">
        <v>55</v>
      </c>
      <c r="E205" s="467">
        <f>'SICA a Marzo2026'!E22</f>
        <v>551815.19999999995</v>
      </c>
      <c r="F205" s="344"/>
      <c r="G205" s="344"/>
      <c r="H205" s="345"/>
      <c r="I205" s="346"/>
      <c r="J205" s="346"/>
      <c r="L205" s="199"/>
      <c r="M205" s="16"/>
      <c r="N205" s="103"/>
      <c r="O205" s="104"/>
      <c r="P205" s="104"/>
      <c r="Q205" s="105"/>
      <c r="R205" s="22"/>
      <c r="S205" s="185"/>
    </row>
    <row r="206" spans="2:19" s="5" customFormat="1">
      <c r="B206" s="294"/>
      <c r="C206" s="826"/>
      <c r="D206" s="119" t="s">
        <v>258</v>
      </c>
      <c r="E206" s="467" t="s">
        <v>33</v>
      </c>
      <c r="F206" s="331">
        <f>E205</f>
        <v>551815.19999999995</v>
      </c>
      <c r="G206" s="276">
        <v>0.2</v>
      </c>
      <c r="H206" s="275">
        <f>+G206*F206</f>
        <v>110363.04</v>
      </c>
      <c r="I206" s="333"/>
      <c r="J206" s="333"/>
      <c r="K206" s="71"/>
      <c r="L206" s="199"/>
      <c r="M206" s="49"/>
      <c r="N206" s="86">
        <f>H206</f>
        <v>110363.04</v>
      </c>
      <c r="O206" s="112"/>
      <c r="P206" s="86"/>
      <c r="Q206" s="87"/>
      <c r="R206" s="55"/>
      <c r="S206" s="185"/>
    </row>
    <row r="207" spans="2:19" s="5" customFormat="1">
      <c r="B207" s="294"/>
      <c r="C207" s="826"/>
      <c r="D207" s="119" t="s">
        <v>4</v>
      </c>
      <c r="E207" s="467" t="s">
        <v>33</v>
      </c>
      <c r="F207" s="331">
        <f>E205</f>
        <v>551815.19999999995</v>
      </c>
      <c r="G207" s="275">
        <f>$F$4</f>
        <v>6</v>
      </c>
      <c r="H207" s="275">
        <f>+G207*F207</f>
        <v>3310891.1999999997</v>
      </c>
      <c r="I207" s="333"/>
      <c r="J207" s="333"/>
      <c r="K207" s="71"/>
      <c r="L207" s="199"/>
      <c r="M207" s="49"/>
      <c r="N207" s="86"/>
      <c r="O207" s="112">
        <f>H207</f>
        <v>3310891.1999999997</v>
      </c>
      <c r="P207" s="86"/>
      <c r="Q207" s="87"/>
      <c r="R207" s="55"/>
      <c r="S207" s="185"/>
    </row>
    <row r="208" spans="2:19" s="5" customFormat="1">
      <c r="B208" s="294"/>
      <c r="C208" s="826"/>
      <c r="D208" s="119" t="s">
        <v>34</v>
      </c>
      <c r="E208" s="468">
        <f>$H$5+2</f>
        <v>13.25</v>
      </c>
      <c r="F208" s="331">
        <f>E205/44*1.5</f>
        <v>18811.881818181817</v>
      </c>
      <c r="G208" s="334">
        <f>$F$4</f>
        <v>6</v>
      </c>
      <c r="H208" s="275">
        <f>+G208*F208*E208</f>
        <v>1495544.6045454543</v>
      </c>
      <c r="I208" s="333"/>
      <c r="J208" s="333"/>
      <c r="K208" s="71"/>
      <c r="L208" s="199"/>
      <c r="M208" s="49"/>
      <c r="N208" s="86"/>
      <c r="O208" s="112">
        <f>H208</f>
        <v>1495544.6045454543</v>
      </c>
      <c r="P208" s="86"/>
      <c r="Q208" s="87"/>
      <c r="R208" s="55"/>
      <c r="S208" s="185"/>
    </row>
    <row r="209" spans="2:19" s="5" customFormat="1">
      <c r="B209" s="294"/>
      <c r="C209" s="826"/>
      <c r="D209" s="119" t="s">
        <v>1</v>
      </c>
      <c r="E209" s="469" t="s">
        <v>35</v>
      </c>
      <c r="F209" s="331">
        <f>E205/5*1.5</f>
        <v>165544.56</v>
      </c>
      <c r="G209" s="275">
        <f>$H$3</f>
        <v>0</v>
      </c>
      <c r="H209" s="275">
        <f>+G209*F209</f>
        <v>0</v>
      </c>
      <c r="I209" s="333"/>
      <c r="J209" s="333"/>
      <c r="K209" s="71"/>
      <c r="L209" s="199"/>
      <c r="M209" s="49"/>
      <c r="N209" s="86"/>
      <c r="O209" s="112">
        <f>H209</f>
        <v>0</v>
      </c>
      <c r="P209" s="86"/>
      <c r="Q209" s="87"/>
      <c r="R209" s="55"/>
      <c r="S209" s="185"/>
    </row>
    <row r="210" spans="2:19" s="5" customFormat="1">
      <c r="B210" s="294"/>
      <c r="C210" s="826"/>
      <c r="D210" s="119" t="s">
        <v>5</v>
      </c>
      <c r="E210" s="469" t="s">
        <v>35</v>
      </c>
      <c r="F210" s="331">
        <f>E205/5*2</f>
        <v>220726.08</v>
      </c>
      <c r="G210" s="275">
        <f>$H$4</f>
        <v>0</v>
      </c>
      <c r="H210" s="275">
        <f>+G210*F210</f>
        <v>0</v>
      </c>
      <c r="I210" s="333"/>
      <c r="J210" s="333"/>
      <c r="K210" s="71"/>
      <c r="L210" s="199"/>
      <c r="M210" s="49"/>
      <c r="N210" s="86"/>
      <c r="O210" s="112">
        <f>H210</f>
        <v>0</v>
      </c>
      <c r="P210" s="86"/>
      <c r="Q210" s="87"/>
      <c r="R210" s="55"/>
      <c r="S210" s="185"/>
    </row>
    <row r="211" spans="2:19" s="5" customFormat="1">
      <c r="B211" s="294"/>
      <c r="C211" s="826"/>
      <c r="D211" s="119" t="s">
        <v>50</v>
      </c>
      <c r="E211" s="467" t="s">
        <v>33</v>
      </c>
      <c r="F211" s="331">
        <f>E205</f>
        <v>551815.19999999995</v>
      </c>
      <c r="G211" s="276">
        <v>0.2</v>
      </c>
      <c r="H211" s="275">
        <f>+G211*F211</f>
        <v>110363.04</v>
      </c>
      <c r="I211" s="333"/>
      <c r="J211" s="333"/>
      <c r="K211" s="71"/>
      <c r="L211" s="199"/>
      <c r="M211" s="49"/>
      <c r="N211" s="86"/>
      <c r="O211" s="112"/>
      <c r="P211" s="86">
        <f>SUM(H211)</f>
        <v>110363.04</v>
      </c>
      <c r="Q211" s="87"/>
      <c r="R211" s="55"/>
      <c r="S211" s="185"/>
    </row>
    <row r="212" spans="2:19" s="5" customFormat="1">
      <c r="B212" s="294"/>
      <c r="C212" s="826"/>
      <c r="D212" s="119" t="s">
        <v>36</v>
      </c>
      <c r="E212" s="469" t="s">
        <v>21</v>
      </c>
      <c r="F212" s="347">
        <f>G206+G207+G211</f>
        <v>6.4</v>
      </c>
      <c r="G212" s="336" t="s">
        <v>37</v>
      </c>
      <c r="H212" s="275">
        <f>SUM(H206:H211)</f>
        <v>5027161.8845454538</v>
      </c>
      <c r="I212" s="332"/>
      <c r="J212" s="333"/>
      <c r="K212" s="71"/>
      <c r="L212" s="199"/>
      <c r="M212" s="49"/>
      <c r="N212" s="114"/>
      <c r="O212" s="115"/>
      <c r="P212" s="112"/>
      <c r="Q212" s="87"/>
      <c r="R212" s="55"/>
      <c r="S212" s="185"/>
    </row>
    <row r="213" spans="2:19" s="5" customFormat="1">
      <c r="B213" s="294"/>
      <c r="C213" s="826"/>
      <c r="D213" s="131" t="s">
        <v>38</v>
      </c>
      <c r="E213" s="469" t="s">
        <v>21</v>
      </c>
      <c r="F213" s="331">
        <f>SUM(H206:H211)</f>
        <v>5027161.8845454538</v>
      </c>
      <c r="G213" s="337">
        <f>$G$21</f>
        <v>8.3299999999999999E-2</v>
      </c>
      <c r="H213" s="275">
        <f>+G213*F213</f>
        <v>418762.58498263633</v>
      </c>
      <c r="I213" s="338"/>
      <c r="J213" s="338"/>
      <c r="K213" s="71"/>
      <c r="L213" s="199"/>
      <c r="M213" s="49"/>
      <c r="N213" s="86"/>
      <c r="O213" s="117"/>
      <c r="P213" s="97">
        <f>H213</f>
        <v>418762.58498263633</v>
      </c>
      <c r="Q213" s="105"/>
      <c r="R213" s="55"/>
      <c r="S213" s="185"/>
    </row>
    <row r="214" spans="2:19" s="5" customFormat="1">
      <c r="B214" s="294"/>
      <c r="C214" s="826"/>
      <c r="D214" s="131" t="s">
        <v>231</v>
      </c>
      <c r="E214" s="470">
        <f>F213/(5*F212)</f>
        <v>157098.80889204543</v>
      </c>
      <c r="F214" s="331">
        <f>E214*(F212*7)</f>
        <v>7038026.6383636361</v>
      </c>
      <c r="G214" s="339">
        <f>$G$22</f>
        <v>20</v>
      </c>
      <c r="H214" s="275">
        <f>F214/G214</f>
        <v>351901.33191818179</v>
      </c>
      <c r="I214" s="340">
        <v>0</v>
      </c>
      <c r="J214" s="340"/>
      <c r="K214" s="71">
        <f>SUM(G206:G214)</f>
        <v>32.4833</v>
      </c>
      <c r="L214" s="199"/>
      <c r="M214" s="49"/>
      <c r="N214" s="86"/>
      <c r="O214" s="117"/>
      <c r="P214" s="97">
        <f>H214</f>
        <v>351901.33191818179</v>
      </c>
      <c r="Q214" s="105"/>
      <c r="R214" s="55"/>
      <c r="S214" s="185"/>
    </row>
    <row r="215" spans="2:19" s="5" customFormat="1">
      <c r="B215" s="297"/>
      <c r="C215" s="826"/>
      <c r="D215" s="131" t="s">
        <v>354</v>
      </c>
      <c r="E215" s="470">
        <v>8.3333333333333329E-2</v>
      </c>
      <c r="F215" s="331">
        <f>H214</f>
        <v>351901.33191818179</v>
      </c>
      <c r="G215" s="439">
        <v>1</v>
      </c>
      <c r="H215" s="275">
        <f>F215*E215</f>
        <v>29325.110993181814</v>
      </c>
      <c r="I215" s="340">
        <v>0</v>
      </c>
      <c r="J215" s="340">
        <f>SUM(H212:H215)</f>
        <v>5827150.9124394534</v>
      </c>
      <c r="K215" s="71">
        <f>SUM(G207:G215)</f>
        <v>33.283299999999997</v>
      </c>
      <c r="L215" s="163"/>
      <c r="M215" s="49"/>
      <c r="N215" s="86"/>
      <c r="O215" s="117"/>
      <c r="P215" s="97">
        <f>H215</f>
        <v>29325.110993181814</v>
      </c>
      <c r="Q215" s="105"/>
      <c r="R215" s="55"/>
      <c r="S215" s="185"/>
    </row>
    <row r="216" spans="2:19" s="195" customFormat="1">
      <c r="B216" s="294"/>
      <c r="C216" s="826"/>
      <c r="D216" s="213"/>
      <c r="E216" s="472"/>
      <c r="F216" s="341"/>
      <c r="G216" s="342"/>
      <c r="H216" s="343"/>
      <c r="I216" s="333"/>
      <c r="J216" s="333"/>
      <c r="K216" s="285"/>
      <c r="L216" s="200"/>
      <c r="M216" s="206"/>
      <c r="N216" s="202"/>
      <c r="O216" s="193"/>
      <c r="P216" s="193"/>
      <c r="Q216" s="203"/>
      <c r="R216" s="209"/>
      <c r="S216" s="205"/>
    </row>
    <row r="217" spans="2:19" s="195" customFormat="1" ht="15" customHeight="1">
      <c r="B217" s="398">
        <v>19</v>
      </c>
      <c r="C217" s="1006">
        <v>1</v>
      </c>
      <c r="D217" s="122" t="s">
        <v>56</v>
      </c>
      <c r="E217" s="467">
        <f>'SICA a Marzo2026'!E23</f>
        <v>446644.8</v>
      </c>
      <c r="F217" s="344"/>
      <c r="G217" s="344"/>
      <c r="H217" s="345"/>
      <c r="I217" s="346"/>
      <c r="J217" s="346"/>
      <c r="L217" s="200"/>
      <c r="M217" s="201"/>
      <c r="N217" s="202"/>
      <c r="O217" s="193"/>
      <c r="P217" s="193"/>
      <c r="Q217" s="203"/>
      <c r="R217" s="204"/>
      <c r="S217" s="205"/>
    </row>
    <row r="218" spans="2:19" s="195" customFormat="1">
      <c r="B218" s="294"/>
      <c r="C218" s="826"/>
      <c r="D218" s="119" t="s">
        <v>258</v>
      </c>
      <c r="E218" s="467" t="s">
        <v>33</v>
      </c>
      <c r="F218" s="331">
        <f>E217</f>
        <v>446644.8</v>
      </c>
      <c r="G218" s="275">
        <f>$H$3</f>
        <v>0</v>
      </c>
      <c r="H218" s="275">
        <f>+G218*F218</f>
        <v>0</v>
      </c>
      <c r="I218" s="333"/>
      <c r="J218" s="333"/>
      <c r="K218" s="285"/>
      <c r="L218" s="200"/>
      <c r="M218" s="206"/>
      <c r="N218" s="192">
        <f>H218</f>
        <v>0</v>
      </c>
      <c r="O218" s="207"/>
      <c r="P218" s="192"/>
      <c r="Q218" s="208"/>
      <c r="R218" s="209"/>
      <c r="S218" s="205"/>
    </row>
    <row r="219" spans="2:19" s="195" customFormat="1">
      <c r="B219" s="294"/>
      <c r="C219" s="826"/>
      <c r="D219" s="119" t="s">
        <v>4</v>
      </c>
      <c r="E219" s="467" t="s">
        <v>33</v>
      </c>
      <c r="F219" s="331">
        <f>E217</f>
        <v>446644.8</v>
      </c>
      <c r="G219" s="334">
        <f>$F$4</f>
        <v>6</v>
      </c>
      <c r="H219" s="275">
        <f>+G219*F219</f>
        <v>2679868.7999999998</v>
      </c>
      <c r="I219" s="333"/>
      <c r="J219" s="333"/>
      <c r="K219" s="285"/>
      <c r="L219" s="200"/>
      <c r="M219" s="206"/>
      <c r="N219" s="192"/>
      <c r="O219" s="207">
        <f>H219</f>
        <v>2679868.7999999998</v>
      </c>
      <c r="P219" s="192"/>
      <c r="Q219" s="208"/>
      <c r="R219" s="209"/>
      <c r="S219" s="205"/>
    </row>
    <row r="220" spans="2:19" s="195" customFormat="1">
      <c r="B220" s="294"/>
      <c r="C220" s="826"/>
      <c r="D220" s="119" t="s">
        <v>34</v>
      </c>
      <c r="E220" s="468">
        <f>$H$5</f>
        <v>11.25</v>
      </c>
      <c r="F220" s="331">
        <f>E217/44*1.5</f>
        <v>15226.527272727271</v>
      </c>
      <c r="G220" s="334">
        <f>$F$4</f>
        <v>6</v>
      </c>
      <c r="H220" s="275">
        <f>+G220*F220*E220</f>
        <v>1027790.5909090909</v>
      </c>
      <c r="I220" s="333"/>
      <c r="J220" s="333"/>
      <c r="K220" s="285"/>
      <c r="L220" s="200"/>
      <c r="M220" s="206"/>
      <c r="N220" s="192"/>
      <c r="O220" s="207">
        <f>H220</f>
        <v>1027790.5909090909</v>
      </c>
      <c r="P220" s="192"/>
      <c r="Q220" s="208"/>
      <c r="R220" s="209"/>
      <c r="S220" s="205"/>
    </row>
    <row r="221" spans="2:19" s="195" customFormat="1">
      <c r="B221" s="294"/>
      <c r="C221" s="826"/>
      <c r="D221" s="119" t="s">
        <v>1</v>
      </c>
      <c r="E221" s="469" t="s">
        <v>35</v>
      </c>
      <c r="F221" s="331">
        <f>E217/5*1.5</f>
        <v>133993.44</v>
      </c>
      <c r="G221" s="275">
        <f>$H$3</f>
        <v>0</v>
      </c>
      <c r="H221" s="275">
        <f>+G221*F221</f>
        <v>0</v>
      </c>
      <c r="I221" s="333"/>
      <c r="J221" s="333"/>
      <c r="K221" s="285"/>
      <c r="L221" s="200"/>
      <c r="M221" s="206"/>
      <c r="N221" s="192"/>
      <c r="O221" s="207">
        <f>H221</f>
        <v>0</v>
      </c>
      <c r="P221" s="192"/>
      <c r="Q221" s="208"/>
      <c r="R221" s="209"/>
      <c r="S221" s="205"/>
    </row>
    <row r="222" spans="2:19" s="195" customFormat="1">
      <c r="B222" s="294"/>
      <c r="C222" s="826"/>
      <c r="D222" s="119" t="s">
        <v>5</v>
      </c>
      <c r="E222" s="469" t="s">
        <v>35</v>
      </c>
      <c r="F222" s="331">
        <f>E217/5*2</f>
        <v>178657.91999999998</v>
      </c>
      <c r="G222" s="275">
        <f>$H$4</f>
        <v>0</v>
      </c>
      <c r="H222" s="275">
        <f>+G222*F222</f>
        <v>0</v>
      </c>
      <c r="I222" s="333"/>
      <c r="J222" s="333"/>
      <c r="K222" s="285"/>
      <c r="L222" s="200"/>
      <c r="M222" s="206"/>
      <c r="N222" s="192"/>
      <c r="O222" s="207">
        <f>H222</f>
        <v>0</v>
      </c>
      <c r="P222" s="192"/>
      <c r="Q222" s="208"/>
      <c r="R222" s="209"/>
      <c r="S222" s="205"/>
    </row>
    <row r="223" spans="2:19" s="195" customFormat="1">
      <c r="B223" s="294"/>
      <c r="C223" s="826"/>
      <c r="D223" s="119" t="s">
        <v>50</v>
      </c>
      <c r="E223" s="467" t="s">
        <v>33</v>
      </c>
      <c r="F223" s="331">
        <f>E217</f>
        <v>446644.8</v>
      </c>
      <c r="G223" s="276">
        <v>0.2</v>
      </c>
      <c r="H223" s="275">
        <f>+G223*F223</f>
        <v>89328.960000000006</v>
      </c>
      <c r="I223" s="333"/>
      <c r="J223" s="333"/>
      <c r="K223" s="285"/>
      <c r="L223" s="200"/>
      <c r="M223" s="206"/>
      <c r="N223" s="192"/>
      <c r="O223" s="207"/>
      <c r="P223" s="192">
        <f>SUM(H223)</f>
        <v>89328.960000000006</v>
      </c>
      <c r="Q223" s="208"/>
      <c r="R223" s="209"/>
      <c r="S223" s="205"/>
    </row>
    <row r="224" spans="2:19" s="195" customFormat="1">
      <c r="B224" s="294"/>
      <c r="C224" s="826"/>
      <c r="D224" s="119" t="s">
        <v>36</v>
      </c>
      <c r="E224" s="469" t="s">
        <v>21</v>
      </c>
      <c r="F224" s="347">
        <f>G218+G219+G223</f>
        <v>6.2</v>
      </c>
      <c r="G224" s="336" t="s">
        <v>37</v>
      </c>
      <c r="H224" s="275">
        <f>SUM(H218:H223)</f>
        <v>3796988.3509090906</v>
      </c>
      <c r="I224" s="332"/>
      <c r="J224" s="333"/>
      <c r="K224" s="285"/>
      <c r="L224" s="200"/>
      <c r="M224" s="206"/>
      <c r="N224" s="210"/>
      <c r="O224" s="211"/>
      <c r="P224" s="207"/>
      <c r="Q224" s="208"/>
      <c r="R224" s="209"/>
      <c r="S224" s="205"/>
    </row>
    <row r="225" spans="2:19" s="195" customFormat="1">
      <c r="B225" s="294"/>
      <c r="C225" s="826"/>
      <c r="D225" s="131" t="s">
        <v>38</v>
      </c>
      <c r="E225" s="469" t="s">
        <v>21</v>
      </c>
      <c r="F225" s="331">
        <f>SUM(H218:H223)</f>
        <v>3796988.3509090906</v>
      </c>
      <c r="G225" s="337">
        <f>$G$21</f>
        <v>8.3299999999999999E-2</v>
      </c>
      <c r="H225" s="275">
        <f>+G225*F225</f>
        <v>316289.12963072723</v>
      </c>
      <c r="I225" s="338"/>
      <c r="J225" s="338"/>
      <c r="K225" s="285"/>
      <c r="L225" s="200"/>
      <c r="M225" s="206"/>
      <c r="N225" s="192"/>
      <c r="O225" s="212"/>
      <c r="P225" s="194">
        <f>H225</f>
        <v>316289.12963072723</v>
      </c>
      <c r="Q225" s="203"/>
      <c r="R225" s="209"/>
      <c r="S225" s="205"/>
    </row>
    <row r="226" spans="2:19" s="195" customFormat="1">
      <c r="B226" s="294"/>
      <c r="C226" s="826"/>
      <c r="D226" s="131" t="s">
        <v>231</v>
      </c>
      <c r="E226" s="470">
        <f>F225/(5*F224)</f>
        <v>122483.49519061582</v>
      </c>
      <c r="F226" s="331">
        <f>E226*(F224*7)</f>
        <v>5315783.6912727263</v>
      </c>
      <c r="G226" s="339">
        <f>$G$22</f>
        <v>20</v>
      </c>
      <c r="H226" s="275">
        <f>F226/G226</f>
        <v>265789.18456363631</v>
      </c>
      <c r="I226" s="340">
        <v>0</v>
      </c>
      <c r="J226" s="340"/>
      <c r="K226" s="285">
        <f>SUM(G218:G226)</f>
        <v>32.283299999999997</v>
      </c>
      <c r="L226" s="200"/>
      <c r="M226" s="206"/>
      <c r="N226" s="192"/>
      <c r="O226" s="212"/>
      <c r="P226" s="194">
        <f>H226</f>
        <v>265789.18456363631</v>
      </c>
      <c r="Q226" s="203"/>
      <c r="R226" s="209"/>
      <c r="S226" s="205"/>
    </row>
    <row r="227" spans="2:19" s="5" customFormat="1">
      <c r="B227" s="297"/>
      <c r="C227" s="826"/>
      <c r="D227" s="131" t="s">
        <v>354</v>
      </c>
      <c r="E227" s="470">
        <v>8.3333333333333329E-2</v>
      </c>
      <c r="F227" s="331">
        <f>H226</f>
        <v>265789.18456363631</v>
      </c>
      <c r="G227" s="439">
        <v>1</v>
      </c>
      <c r="H227" s="275">
        <f>F227*E227</f>
        <v>22149.098713636358</v>
      </c>
      <c r="I227" s="340">
        <v>0</v>
      </c>
      <c r="J227" s="340">
        <f>SUM(H224:H227)</f>
        <v>4401215.7638170905</v>
      </c>
      <c r="K227" s="71">
        <f>SUM(G219:G227)</f>
        <v>33.283299999999997</v>
      </c>
      <c r="L227" s="163"/>
      <c r="M227" s="49"/>
      <c r="N227" s="86"/>
      <c r="O227" s="117"/>
      <c r="P227" s="97">
        <f>H227</f>
        <v>22149.098713636358</v>
      </c>
      <c r="Q227" s="105"/>
      <c r="R227" s="55"/>
      <c r="S227" s="185"/>
    </row>
    <row r="228" spans="2:19" s="195" customFormat="1">
      <c r="B228" s="294"/>
      <c r="C228" s="826"/>
      <c r="D228" s="119"/>
      <c r="E228" s="472"/>
      <c r="F228" s="341"/>
      <c r="G228" s="342"/>
      <c r="H228" s="343"/>
      <c r="I228" s="333"/>
      <c r="J228" s="333"/>
      <c r="K228" s="285"/>
      <c r="L228" s="200"/>
      <c r="M228" s="206"/>
      <c r="N228" s="202"/>
      <c r="O228" s="193"/>
      <c r="P228" s="193"/>
      <c r="Q228" s="203"/>
      <c r="R228" s="209"/>
      <c r="S228" s="205"/>
    </row>
    <row r="229" spans="2:19" s="5" customFormat="1" ht="15" customHeight="1">
      <c r="B229" s="398">
        <v>20</v>
      </c>
      <c r="C229" s="807">
        <v>1</v>
      </c>
      <c r="D229" s="122" t="s">
        <v>57</v>
      </c>
      <c r="E229" s="467">
        <f>'SICA a Marzo2026'!E24</f>
        <v>446644.8</v>
      </c>
      <c r="F229" s="341"/>
      <c r="G229" s="344"/>
      <c r="H229" s="345"/>
      <c r="I229" s="346"/>
      <c r="J229" s="346"/>
      <c r="L229" s="163"/>
      <c r="M229" s="16"/>
      <c r="N229" s="103"/>
      <c r="O229" s="104"/>
      <c r="P229" s="104"/>
      <c r="Q229" s="105"/>
      <c r="R229" s="22"/>
      <c r="S229" s="185"/>
    </row>
    <row r="230" spans="2:19" s="5" customFormat="1">
      <c r="B230" s="294"/>
      <c r="C230" s="807"/>
      <c r="D230" s="119" t="s">
        <v>258</v>
      </c>
      <c r="E230" s="467" t="s">
        <v>33</v>
      </c>
      <c r="F230" s="331">
        <f>E229</f>
        <v>446644.8</v>
      </c>
      <c r="G230" s="276">
        <v>0.2</v>
      </c>
      <c r="H230" s="275">
        <f>+G230*F230</f>
        <v>89328.960000000006</v>
      </c>
      <c r="I230" s="333"/>
      <c r="J230" s="333"/>
      <c r="K230" s="71"/>
      <c r="L230" s="163"/>
      <c r="M230" s="49"/>
      <c r="N230" s="86">
        <f>H230</f>
        <v>89328.960000000006</v>
      </c>
      <c r="O230" s="112"/>
      <c r="P230" s="86"/>
      <c r="Q230" s="87"/>
      <c r="R230" s="55"/>
      <c r="S230" s="185"/>
    </row>
    <row r="231" spans="2:19" s="5" customFormat="1">
      <c r="B231" s="294"/>
      <c r="C231" s="807"/>
      <c r="D231" s="119" t="s">
        <v>4</v>
      </c>
      <c r="E231" s="467" t="s">
        <v>33</v>
      </c>
      <c r="F231" s="331">
        <f>E229</f>
        <v>446644.8</v>
      </c>
      <c r="G231" s="275">
        <f>$F$4</f>
        <v>6</v>
      </c>
      <c r="H231" s="275">
        <f>+G231*F231</f>
        <v>2679868.7999999998</v>
      </c>
      <c r="I231" s="333"/>
      <c r="J231" s="333"/>
      <c r="K231" s="71"/>
      <c r="L231" s="163"/>
      <c r="M231" s="49"/>
      <c r="N231" s="86"/>
      <c r="O231" s="112">
        <f>H231</f>
        <v>2679868.7999999998</v>
      </c>
      <c r="P231" s="86"/>
      <c r="Q231" s="87"/>
      <c r="R231" s="55"/>
      <c r="S231" s="185"/>
    </row>
    <row r="232" spans="2:19" s="5" customFormat="1">
      <c r="B232" s="294"/>
      <c r="C232" s="807"/>
      <c r="D232" s="119" t="s">
        <v>34</v>
      </c>
      <c r="E232" s="468">
        <f>$H$5+2</f>
        <v>13.25</v>
      </c>
      <c r="F232" s="331">
        <f>E229/44*1.5</f>
        <v>15226.527272727271</v>
      </c>
      <c r="G232" s="334">
        <f>$F$4</f>
        <v>6</v>
      </c>
      <c r="H232" s="275">
        <f>+G232*F232*E232</f>
        <v>1210508.9181818182</v>
      </c>
      <c r="I232" s="333"/>
      <c r="J232" s="333"/>
      <c r="K232" s="71"/>
      <c r="L232" s="163"/>
      <c r="M232" s="49"/>
      <c r="N232" s="86"/>
      <c r="O232" s="112">
        <f>H232</f>
        <v>1210508.9181818182</v>
      </c>
      <c r="P232" s="86"/>
      <c r="Q232" s="87"/>
      <c r="R232" s="55"/>
      <c r="S232" s="185"/>
    </row>
    <row r="233" spans="2:19" s="5" customFormat="1">
      <c r="B233" s="294"/>
      <c r="C233" s="807"/>
      <c r="D233" s="119" t="s">
        <v>1</v>
      </c>
      <c r="E233" s="469" t="s">
        <v>35</v>
      </c>
      <c r="F233" s="331">
        <f>E229/5*1.5</f>
        <v>133993.44</v>
      </c>
      <c r="G233" s="275">
        <f>$H$3</f>
        <v>0</v>
      </c>
      <c r="H233" s="275">
        <f>+G233*F233</f>
        <v>0</v>
      </c>
      <c r="I233" s="333"/>
      <c r="J233" s="333"/>
      <c r="K233" s="71"/>
      <c r="L233" s="163"/>
      <c r="M233" s="49"/>
      <c r="N233" s="86"/>
      <c r="O233" s="112">
        <f>H233</f>
        <v>0</v>
      </c>
      <c r="P233" s="86"/>
      <c r="Q233" s="87"/>
      <c r="R233" s="55"/>
      <c r="S233" s="185"/>
    </row>
    <row r="234" spans="2:19" s="5" customFormat="1">
      <c r="B234" s="294"/>
      <c r="C234" s="807"/>
      <c r="D234" s="119" t="s">
        <v>5</v>
      </c>
      <c r="E234" s="469" t="s">
        <v>35</v>
      </c>
      <c r="F234" s="331">
        <f>E229/5*2</f>
        <v>178657.91999999998</v>
      </c>
      <c r="G234" s="275">
        <f>$H$4</f>
        <v>0</v>
      </c>
      <c r="H234" s="275">
        <f>+G234*F234</f>
        <v>0</v>
      </c>
      <c r="I234" s="333"/>
      <c r="J234" s="333"/>
      <c r="K234" s="71"/>
      <c r="L234" s="163"/>
      <c r="M234" s="49"/>
      <c r="N234" s="86"/>
      <c r="O234" s="112">
        <f>H234</f>
        <v>0</v>
      </c>
      <c r="P234" s="86"/>
      <c r="Q234" s="87"/>
      <c r="R234" s="55"/>
      <c r="S234" s="185"/>
    </row>
    <row r="235" spans="2:19" s="5" customFormat="1">
      <c r="B235" s="294"/>
      <c r="C235" s="807"/>
      <c r="D235" s="119" t="s">
        <v>50</v>
      </c>
      <c r="E235" s="467" t="s">
        <v>33</v>
      </c>
      <c r="F235" s="331">
        <f>E229</f>
        <v>446644.8</v>
      </c>
      <c r="G235" s="276">
        <v>0.2</v>
      </c>
      <c r="H235" s="275">
        <f>+G235*F235</f>
        <v>89328.960000000006</v>
      </c>
      <c r="I235" s="333"/>
      <c r="J235" s="333"/>
      <c r="K235" s="71"/>
      <c r="L235" s="163"/>
      <c r="M235" s="49"/>
      <c r="N235" s="86"/>
      <c r="O235" s="112"/>
      <c r="P235" s="86">
        <f>SUM(H235)</f>
        <v>89328.960000000006</v>
      </c>
      <c r="Q235" s="87"/>
      <c r="R235" s="55"/>
      <c r="S235" s="185"/>
    </row>
    <row r="236" spans="2:19" s="5" customFormat="1">
      <c r="B236" s="294"/>
      <c r="C236" s="807"/>
      <c r="D236" s="119" t="s">
        <v>36</v>
      </c>
      <c r="E236" s="469" t="s">
        <v>21</v>
      </c>
      <c r="F236" s="347">
        <f>G230+G231+G235</f>
        <v>6.4</v>
      </c>
      <c r="G236" s="336" t="s">
        <v>37</v>
      </c>
      <c r="H236" s="275">
        <f>SUM(H230:H235)</f>
        <v>4069035.6381818177</v>
      </c>
      <c r="I236" s="332"/>
      <c r="J236" s="333"/>
      <c r="K236" s="71"/>
      <c r="L236" s="163"/>
      <c r="M236" s="49"/>
      <c r="N236" s="114"/>
      <c r="O236" s="115"/>
      <c r="P236" s="112"/>
      <c r="Q236" s="87"/>
      <c r="R236" s="55"/>
      <c r="S236" s="185"/>
    </row>
    <row r="237" spans="2:19" s="5" customFormat="1">
      <c r="B237" s="294"/>
      <c r="C237" s="807"/>
      <c r="D237" s="131" t="s">
        <v>38</v>
      </c>
      <c r="E237" s="469" t="s">
        <v>21</v>
      </c>
      <c r="F237" s="331">
        <f>SUM(H230:H235)</f>
        <v>4069035.6381818177</v>
      </c>
      <c r="G237" s="337">
        <f>$G$21</f>
        <v>8.3299999999999999E-2</v>
      </c>
      <c r="H237" s="275">
        <f>+G237*F237</f>
        <v>338950.66866054543</v>
      </c>
      <c r="I237" s="338"/>
      <c r="J237" s="338"/>
      <c r="K237" s="71"/>
      <c r="L237" s="163"/>
      <c r="M237" s="49"/>
      <c r="N237" s="86"/>
      <c r="O237" s="117"/>
      <c r="P237" s="97">
        <f>H237</f>
        <v>338950.66866054543</v>
      </c>
      <c r="Q237" s="105"/>
      <c r="R237" s="55"/>
      <c r="S237" s="185"/>
    </row>
    <row r="238" spans="2:19" s="5" customFormat="1">
      <c r="B238" s="294"/>
      <c r="C238" s="807"/>
      <c r="D238" s="131" t="s">
        <v>39</v>
      </c>
      <c r="E238" s="470">
        <f>F237/(5*F236)</f>
        <v>127157.3636931818</v>
      </c>
      <c r="F238" s="331">
        <f>E238*(F236*7)</f>
        <v>5696649.8934545452</v>
      </c>
      <c r="G238" s="339">
        <f>$G$22</f>
        <v>20</v>
      </c>
      <c r="H238" s="275">
        <f>F238/G238</f>
        <v>284832.49467272725</v>
      </c>
      <c r="I238" s="340">
        <v>0</v>
      </c>
      <c r="J238" s="340"/>
      <c r="K238" s="71">
        <f>SUM(G230:G238)</f>
        <v>32.4833</v>
      </c>
      <c r="L238" s="163"/>
      <c r="M238" s="49"/>
      <c r="N238" s="86"/>
      <c r="O238" s="117"/>
      <c r="P238" s="97">
        <f>H238</f>
        <v>284832.49467272725</v>
      </c>
      <c r="Q238" s="105"/>
      <c r="R238" s="55"/>
      <c r="S238" s="185"/>
    </row>
    <row r="239" spans="2:19" s="5" customFormat="1">
      <c r="B239" s="297"/>
      <c r="C239" s="826"/>
      <c r="D239" s="131" t="s">
        <v>354</v>
      </c>
      <c r="E239" s="470">
        <v>8.3333333333333329E-2</v>
      </c>
      <c r="F239" s="331">
        <f>H238</f>
        <v>284832.49467272725</v>
      </c>
      <c r="G239" s="439">
        <v>1</v>
      </c>
      <c r="H239" s="275">
        <f>F239*E239</f>
        <v>23736.041222727268</v>
      </c>
      <c r="I239" s="340">
        <v>0</v>
      </c>
      <c r="J239" s="340">
        <f>SUM(H236:H239)</f>
        <v>4716554.8427378172</v>
      </c>
      <c r="K239" s="71">
        <f>SUM(G231:G239)</f>
        <v>33.283299999999997</v>
      </c>
      <c r="L239" s="163"/>
      <c r="M239" s="49"/>
      <c r="N239" s="86"/>
      <c r="O239" s="117"/>
      <c r="P239" s="97">
        <f>H239</f>
        <v>23736.041222727268</v>
      </c>
      <c r="Q239" s="105"/>
      <c r="R239" s="55"/>
      <c r="S239" s="185"/>
    </row>
    <row r="240" spans="2:19" s="5" customFormat="1">
      <c r="B240" s="294"/>
      <c r="C240" s="807"/>
      <c r="D240" s="119"/>
      <c r="E240" s="473"/>
      <c r="F240" s="341"/>
      <c r="G240" s="342"/>
      <c r="H240" s="343"/>
      <c r="I240" s="333"/>
      <c r="J240" s="333"/>
      <c r="K240" s="71"/>
      <c r="L240" s="163"/>
      <c r="M240" s="49"/>
      <c r="N240" s="103"/>
      <c r="O240" s="104"/>
      <c r="P240" s="104"/>
      <c r="Q240" s="105"/>
      <c r="R240" s="55"/>
      <c r="S240" s="185"/>
    </row>
    <row r="241" spans="2:19" s="195" customFormat="1" ht="15" customHeight="1">
      <c r="B241" s="398">
        <v>21</v>
      </c>
      <c r="C241" s="1006">
        <v>1</v>
      </c>
      <c r="D241" s="122" t="s">
        <v>58</v>
      </c>
      <c r="E241" s="474">
        <f>'SICA a Marzo2026'!E25</f>
        <v>472533.48</v>
      </c>
      <c r="F241" s="266">
        <f>'SICA a Marzo2026'!E25</f>
        <v>472533.48</v>
      </c>
      <c r="G241" s="344"/>
      <c r="H241" s="345"/>
      <c r="I241" s="346"/>
      <c r="J241" s="346"/>
      <c r="K241" s="5"/>
      <c r="L241" s="199"/>
      <c r="M241" s="16"/>
      <c r="N241" s="103"/>
      <c r="O241" s="104"/>
      <c r="P241" s="104"/>
      <c r="Q241" s="203"/>
      <c r="R241" s="204"/>
      <c r="S241" s="205"/>
    </row>
    <row r="242" spans="2:19" s="195" customFormat="1">
      <c r="B242" s="294"/>
      <c r="C242" s="826"/>
      <c r="D242" s="119" t="s">
        <v>0</v>
      </c>
      <c r="E242" s="467" t="s">
        <v>33</v>
      </c>
      <c r="F242" s="331">
        <f>E241</f>
        <v>472533.48</v>
      </c>
      <c r="G242" s="334">
        <v>0</v>
      </c>
      <c r="H242" s="275">
        <f>+G242*F242</f>
        <v>0</v>
      </c>
      <c r="I242" s="333"/>
      <c r="J242" s="333"/>
      <c r="K242" s="71"/>
      <c r="L242" s="199"/>
      <c r="M242" s="49"/>
      <c r="N242" s="86">
        <f>H242</f>
        <v>0</v>
      </c>
      <c r="O242" s="112"/>
      <c r="P242" s="86"/>
      <c r="Q242" s="208"/>
      <c r="R242" s="209"/>
      <c r="S242" s="205"/>
    </row>
    <row r="243" spans="2:19" s="195" customFormat="1">
      <c r="B243" s="294"/>
      <c r="C243" s="826"/>
      <c r="D243" s="119" t="s">
        <v>4</v>
      </c>
      <c r="E243" s="467" t="s">
        <v>33</v>
      </c>
      <c r="F243" s="331">
        <f>E241</f>
        <v>472533.48</v>
      </c>
      <c r="G243" s="275">
        <v>3</v>
      </c>
      <c r="H243" s="275">
        <f>+G243*F243</f>
        <v>1417600.44</v>
      </c>
      <c r="I243" s="333"/>
      <c r="J243" s="333"/>
      <c r="K243" s="71"/>
      <c r="L243" s="199"/>
      <c r="M243" s="49"/>
      <c r="N243" s="86"/>
      <c r="O243" s="112">
        <f>H243</f>
        <v>1417600.44</v>
      </c>
      <c r="P243" s="86"/>
      <c r="Q243" s="208"/>
      <c r="R243" s="209"/>
      <c r="S243" s="205"/>
    </row>
    <row r="244" spans="2:19" s="195" customFormat="1">
      <c r="B244" s="294"/>
      <c r="C244" s="826"/>
      <c r="D244" s="119" t="s">
        <v>34</v>
      </c>
      <c r="E244" s="468">
        <f>$H$5</f>
        <v>11.25</v>
      </c>
      <c r="F244" s="331">
        <f>E241/44*1.5</f>
        <v>16109.095909090909</v>
      </c>
      <c r="G244" s="334">
        <v>0</v>
      </c>
      <c r="H244" s="275">
        <f>+G244*F244*E244</f>
        <v>0</v>
      </c>
      <c r="I244" s="333"/>
      <c r="J244" s="333"/>
      <c r="K244" s="71"/>
      <c r="L244" s="199"/>
      <c r="M244" s="49"/>
      <c r="N244" s="86"/>
      <c r="O244" s="112">
        <f>H244</f>
        <v>0</v>
      </c>
      <c r="P244" s="86"/>
      <c r="Q244" s="208"/>
      <c r="R244" s="209"/>
      <c r="S244" s="205"/>
    </row>
    <row r="245" spans="2:19" s="195" customFormat="1">
      <c r="B245" s="294"/>
      <c r="C245" s="826"/>
      <c r="D245" s="119" t="s">
        <v>1</v>
      </c>
      <c r="E245" s="469" t="s">
        <v>35</v>
      </c>
      <c r="F245" s="331">
        <f>E241/5*1.5</f>
        <v>141760.04399999999</v>
      </c>
      <c r="G245" s="275">
        <f>$H$3</f>
        <v>0</v>
      </c>
      <c r="H245" s="275">
        <f>+G245*F245</f>
        <v>0</v>
      </c>
      <c r="I245" s="333"/>
      <c r="J245" s="333"/>
      <c r="K245" s="71"/>
      <c r="L245" s="199"/>
      <c r="M245" s="49"/>
      <c r="N245" s="86"/>
      <c r="O245" s="112">
        <f>H245</f>
        <v>0</v>
      </c>
      <c r="P245" s="86"/>
      <c r="Q245" s="208"/>
      <c r="R245" s="209"/>
      <c r="S245" s="205"/>
    </row>
    <row r="246" spans="2:19" s="195" customFormat="1">
      <c r="B246" s="294"/>
      <c r="C246" s="826"/>
      <c r="D246" s="119" t="s">
        <v>5</v>
      </c>
      <c r="E246" s="469" t="s">
        <v>35</v>
      </c>
      <c r="F246" s="331">
        <f>E241/5*2</f>
        <v>189013.39199999999</v>
      </c>
      <c r="G246" s="275">
        <f>$H$4</f>
        <v>0</v>
      </c>
      <c r="H246" s="275">
        <f>+G246*F246</f>
        <v>0</v>
      </c>
      <c r="I246" s="333"/>
      <c r="J246" s="333"/>
      <c r="K246" s="71"/>
      <c r="L246" s="199"/>
      <c r="M246" s="49"/>
      <c r="N246" s="86"/>
      <c r="O246" s="112">
        <f>H246</f>
        <v>0</v>
      </c>
      <c r="P246" s="86"/>
      <c r="Q246" s="208"/>
      <c r="R246" s="209"/>
      <c r="S246" s="205"/>
    </row>
    <row r="247" spans="2:19" s="195" customFormat="1">
      <c r="B247" s="294"/>
      <c r="C247" s="826"/>
      <c r="D247" s="119" t="s">
        <v>6</v>
      </c>
      <c r="E247" s="467" t="s">
        <v>33</v>
      </c>
      <c r="F247" s="331">
        <f>E241</f>
        <v>472533.48</v>
      </c>
      <c r="G247" s="275">
        <f>$F$5-$F$5</f>
        <v>0</v>
      </c>
      <c r="H247" s="275">
        <f>+G247*F247</f>
        <v>0</v>
      </c>
      <c r="I247" s="333"/>
      <c r="J247" s="333"/>
      <c r="K247" s="71"/>
      <c r="L247" s="199"/>
      <c r="M247" s="49"/>
      <c r="N247" s="86"/>
      <c r="O247" s="112"/>
      <c r="P247" s="86">
        <f>SUM(H247)</f>
        <v>0</v>
      </c>
      <c r="Q247" s="208"/>
      <c r="R247" s="209"/>
      <c r="S247" s="205"/>
    </row>
    <row r="248" spans="2:19" s="195" customFormat="1">
      <c r="B248" s="294"/>
      <c r="C248" s="826"/>
      <c r="D248" s="119" t="s">
        <v>36</v>
      </c>
      <c r="E248" s="469" t="s">
        <v>21</v>
      </c>
      <c r="F248" s="347">
        <f>G242+G243+G247</f>
        <v>3</v>
      </c>
      <c r="G248" s="336" t="s">
        <v>37</v>
      </c>
      <c r="H248" s="275">
        <f>SUM(H242:H247)</f>
        <v>1417600.44</v>
      </c>
      <c r="I248" s="332"/>
      <c r="J248" s="333"/>
      <c r="K248" s="71"/>
      <c r="L248" s="199"/>
      <c r="M248" s="49"/>
      <c r="N248" s="114"/>
      <c r="O248" s="115"/>
      <c r="P248" s="112"/>
      <c r="Q248" s="208"/>
      <c r="R248" s="209"/>
      <c r="S248" s="205"/>
    </row>
    <row r="249" spans="2:19" s="195" customFormat="1">
      <c r="B249" s="294"/>
      <c r="C249" s="826"/>
      <c r="D249" s="131" t="s">
        <v>38</v>
      </c>
      <c r="E249" s="469" t="s">
        <v>21</v>
      </c>
      <c r="F249" s="331">
        <f>SUM(H242:H247)</f>
        <v>1417600.44</v>
      </c>
      <c r="G249" s="337">
        <f>$G$21</f>
        <v>8.3299999999999999E-2</v>
      </c>
      <c r="H249" s="275">
        <f>+G249*F249</f>
        <v>118086.116652</v>
      </c>
      <c r="I249" s="338"/>
      <c r="J249" s="338"/>
      <c r="K249" s="71"/>
      <c r="L249" s="199"/>
      <c r="M249" s="49"/>
      <c r="N249" s="86"/>
      <c r="O249" s="117"/>
      <c r="P249" s="97">
        <f>H249</f>
        <v>118086.116652</v>
      </c>
      <c r="Q249" s="203"/>
      <c r="R249" s="209"/>
      <c r="S249" s="205"/>
    </row>
    <row r="250" spans="2:19" s="195" customFormat="1">
      <c r="B250" s="294"/>
      <c r="C250" s="826"/>
      <c r="D250" s="131" t="s">
        <v>231</v>
      </c>
      <c r="E250" s="470">
        <f>F249/(5*F248)</f>
        <v>94506.695999999996</v>
      </c>
      <c r="F250" s="331">
        <f>E250*(F248*7)</f>
        <v>1984640.6159999999</v>
      </c>
      <c r="G250" s="339">
        <f>$G$22</f>
        <v>20</v>
      </c>
      <c r="H250" s="275">
        <f>F250/G250</f>
        <v>99232.030799999993</v>
      </c>
      <c r="I250" s="340">
        <v>0</v>
      </c>
      <c r="J250" s="340"/>
      <c r="K250" s="71">
        <f>SUM(G242:G250)</f>
        <v>23.083300000000001</v>
      </c>
      <c r="L250" s="199"/>
      <c r="M250" s="49"/>
      <c r="N250" s="86"/>
      <c r="O250" s="117"/>
      <c r="P250" s="97">
        <f>H250</f>
        <v>99232.030799999993</v>
      </c>
      <c r="Q250" s="203"/>
      <c r="R250" s="209"/>
      <c r="S250" s="205"/>
    </row>
    <row r="251" spans="2:19" s="5" customFormat="1">
      <c r="B251" s="297"/>
      <c r="C251" s="826"/>
      <c r="D251" s="131" t="s">
        <v>354</v>
      </c>
      <c r="E251" s="470">
        <v>8.3333333333333329E-2</v>
      </c>
      <c r="F251" s="331">
        <f>H250</f>
        <v>99232.030799999993</v>
      </c>
      <c r="G251" s="439">
        <v>1</v>
      </c>
      <c r="H251" s="275">
        <f>F251*E251</f>
        <v>8269.3358999999982</v>
      </c>
      <c r="I251" s="340">
        <v>0</v>
      </c>
      <c r="J251" s="340">
        <f>SUM(H248:H251)</f>
        <v>1643187.9233520001</v>
      </c>
      <c r="K251" s="71">
        <f>SUM(G243:G251)</f>
        <v>24.083300000000001</v>
      </c>
      <c r="L251" s="163"/>
      <c r="M251" s="49"/>
      <c r="N251" s="86"/>
      <c r="O251" s="117"/>
      <c r="P251" s="97">
        <f>H251</f>
        <v>8269.3358999999982</v>
      </c>
      <c r="Q251" s="105"/>
      <c r="R251" s="55"/>
      <c r="S251" s="185"/>
    </row>
    <row r="252" spans="2:19" s="5" customFormat="1">
      <c r="B252" s="294"/>
      <c r="C252" s="826"/>
      <c r="D252" s="119"/>
      <c r="E252" s="472"/>
      <c r="F252" s="341"/>
      <c r="G252" s="342"/>
      <c r="H252" s="343"/>
      <c r="I252" s="333"/>
      <c r="J252" s="333"/>
      <c r="K252" s="71"/>
      <c r="L252" s="163"/>
      <c r="M252" s="49"/>
      <c r="N252" s="103"/>
      <c r="O252" s="104"/>
      <c r="P252" s="104"/>
      <c r="Q252" s="105"/>
      <c r="R252" s="55"/>
      <c r="S252" s="185"/>
    </row>
    <row r="253" spans="2:19" s="5" customFormat="1" ht="15" customHeight="1">
      <c r="B253" s="398">
        <v>22</v>
      </c>
      <c r="C253" s="1006">
        <v>1</v>
      </c>
      <c r="D253" s="122" t="s">
        <v>59</v>
      </c>
      <c r="E253" s="467">
        <f>'SICA a Marzo2026'!E26</f>
        <v>604155.24</v>
      </c>
      <c r="F253" s="341"/>
      <c r="G253" s="344"/>
      <c r="H253" s="345"/>
      <c r="I253" s="346"/>
      <c r="J253" s="346"/>
      <c r="L253" s="163"/>
      <c r="M253" s="16"/>
      <c r="N253" s="103"/>
      <c r="O253" s="104"/>
      <c r="P253" s="104"/>
      <c r="Q253" s="105"/>
      <c r="R253" s="22"/>
      <c r="S253" s="185"/>
    </row>
    <row r="254" spans="2:19" s="5" customFormat="1">
      <c r="B254" s="294"/>
      <c r="C254" s="826"/>
      <c r="D254" s="119" t="s">
        <v>262</v>
      </c>
      <c r="E254" s="467" t="s">
        <v>33</v>
      </c>
      <c r="F254" s="331">
        <f>E253</f>
        <v>604155.24</v>
      </c>
      <c r="G254" s="276">
        <v>0.6</v>
      </c>
      <c r="H254" s="275">
        <f>+G254*F254</f>
        <v>362493.14399999997</v>
      </c>
      <c r="I254" s="333"/>
      <c r="J254" s="333"/>
      <c r="K254" s="71"/>
      <c r="L254" s="163"/>
      <c r="M254" s="49"/>
      <c r="N254" s="86">
        <f>H254</f>
        <v>362493.14399999997</v>
      </c>
      <c r="O254" s="112"/>
      <c r="P254" s="86"/>
      <c r="Q254" s="87"/>
      <c r="R254" s="55"/>
      <c r="S254" s="185"/>
    </row>
    <row r="255" spans="2:19" s="5" customFormat="1">
      <c r="B255" s="294"/>
      <c r="C255" s="826"/>
      <c r="D255" s="119" t="s">
        <v>4</v>
      </c>
      <c r="E255" s="467" t="s">
        <v>33</v>
      </c>
      <c r="F255" s="331">
        <f>E253</f>
        <v>604155.24</v>
      </c>
      <c r="G255" s="275">
        <f>$F$4</f>
        <v>6</v>
      </c>
      <c r="H255" s="275">
        <f>+G255*F255</f>
        <v>3624931.44</v>
      </c>
      <c r="I255" s="333"/>
      <c r="J255" s="333"/>
      <c r="K255" s="71"/>
      <c r="L255" s="163"/>
      <c r="M255" s="49"/>
      <c r="N255" s="86"/>
      <c r="O255" s="112">
        <f>H255</f>
        <v>3624931.44</v>
      </c>
      <c r="P255" s="86"/>
      <c r="Q255" s="87"/>
      <c r="R255" s="55"/>
      <c r="S255" s="185"/>
    </row>
    <row r="256" spans="2:19" s="5" customFormat="1">
      <c r="B256" s="294"/>
      <c r="C256" s="826"/>
      <c r="D256" s="119" t="s">
        <v>34</v>
      </c>
      <c r="E256" s="468">
        <f>$H$5+2</f>
        <v>13.25</v>
      </c>
      <c r="F256" s="331">
        <f>E253/44*1.5</f>
        <v>20596.201363636363</v>
      </c>
      <c r="G256" s="334">
        <f>$F$4</f>
        <v>6</v>
      </c>
      <c r="H256" s="275">
        <f>+G256*F256*E256</f>
        <v>1637398.0084090908</v>
      </c>
      <c r="I256" s="333"/>
      <c r="J256" s="333"/>
      <c r="K256" s="71"/>
      <c r="L256" s="163"/>
      <c r="M256" s="49"/>
      <c r="N256" s="86"/>
      <c r="O256" s="112">
        <f>H256</f>
        <v>1637398.0084090908</v>
      </c>
      <c r="P256" s="86"/>
      <c r="Q256" s="87"/>
      <c r="R256" s="55"/>
      <c r="S256" s="185"/>
    </row>
    <row r="257" spans="2:19" s="5" customFormat="1">
      <c r="B257" s="294"/>
      <c r="C257" s="826"/>
      <c r="D257" s="119" t="s">
        <v>1</v>
      </c>
      <c r="E257" s="469" t="s">
        <v>35</v>
      </c>
      <c r="F257" s="331">
        <f>E253/5*1.5</f>
        <v>181246.57199999999</v>
      </c>
      <c r="G257" s="275">
        <f>$H$3</f>
        <v>0</v>
      </c>
      <c r="H257" s="275">
        <f>+G257*F257</f>
        <v>0</v>
      </c>
      <c r="I257" s="333"/>
      <c r="J257" s="333"/>
      <c r="K257" s="71"/>
      <c r="L257" s="163"/>
      <c r="M257" s="49"/>
      <c r="N257" s="86"/>
      <c r="O257" s="112">
        <f>H257</f>
        <v>0</v>
      </c>
      <c r="P257" s="86"/>
      <c r="Q257" s="87"/>
      <c r="R257" s="55"/>
      <c r="S257" s="185"/>
    </row>
    <row r="258" spans="2:19" s="5" customFormat="1">
      <c r="B258" s="294"/>
      <c r="C258" s="826"/>
      <c r="D258" s="119" t="s">
        <v>5</v>
      </c>
      <c r="E258" s="469" t="s">
        <v>35</v>
      </c>
      <c r="F258" s="331">
        <f>E253/5*2</f>
        <v>241662.09599999999</v>
      </c>
      <c r="G258" s="275">
        <f>$H$4</f>
        <v>0</v>
      </c>
      <c r="H258" s="275">
        <f>+G258*F258</f>
        <v>0</v>
      </c>
      <c r="I258" s="333"/>
      <c r="J258" s="333"/>
      <c r="K258" s="71"/>
      <c r="L258" s="163"/>
      <c r="M258" s="49"/>
      <c r="N258" s="86"/>
      <c r="O258" s="112">
        <f>H258</f>
        <v>0</v>
      </c>
      <c r="P258" s="86"/>
      <c r="Q258" s="87"/>
      <c r="R258" s="55"/>
      <c r="S258" s="185"/>
    </row>
    <row r="259" spans="2:19" s="5" customFormat="1">
      <c r="B259" s="294"/>
      <c r="C259" s="826"/>
      <c r="D259" s="119" t="s">
        <v>50</v>
      </c>
      <c r="E259" s="467" t="s">
        <v>33</v>
      </c>
      <c r="F259" s="331">
        <f>E253</f>
        <v>604155.24</v>
      </c>
      <c r="G259" s="276">
        <v>0.2</v>
      </c>
      <c r="H259" s="275">
        <f>+G259*F259</f>
        <v>120831.04800000001</v>
      </c>
      <c r="I259" s="333"/>
      <c r="J259" s="333"/>
      <c r="K259" s="71"/>
      <c r="L259" s="163"/>
      <c r="M259" s="49"/>
      <c r="N259" s="86"/>
      <c r="O259" s="112"/>
      <c r="P259" s="86">
        <f>SUM(H259)</f>
        <v>120831.04800000001</v>
      </c>
      <c r="Q259" s="87"/>
      <c r="R259" s="55"/>
      <c r="S259" s="185"/>
    </row>
    <row r="260" spans="2:19" s="5" customFormat="1">
      <c r="B260" s="294"/>
      <c r="C260" s="826"/>
      <c r="D260" s="119" t="s">
        <v>36</v>
      </c>
      <c r="E260" s="469" t="s">
        <v>21</v>
      </c>
      <c r="F260" s="347">
        <f>G254+G255+G259</f>
        <v>6.8</v>
      </c>
      <c r="G260" s="336" t="s">
        <v>37</v>
      </c>
      <c r="H260" s="275">
        <f>SUM(H254:H259)</f>
        <v>5745653.6404090915</v>
      </c>
      <c r="I260" s="332"/>
      <c r="J260" s="333"/>
      <c r="K260" s="71"/>
      <c r="L260" s="163"/>
      <c r="M260" s="49"/>
      <c r="N260" s="114"/>
      <c r="O260" s="115"/>
      <c r="P260" s="112"/>
      <c r="Q260" s="87"/>
      <c r="R260" s="55"/>
      <c r="S260" s="185"/>
    </row>
    <row r="261" spans="2:19" s="5" customFormat="1">
      <c r="B261" s="294"/>
      <c r="C261" s="826"/>
      <c r="D261" s="131" t="s">
        <v>38</v>
      </c>
      <c r="E261" s="469" t="s">
        <v>21</v>
      </c>
      <c r="F261" s="331">
        <f>SUM(H254:H259)</f>
        <v>5745653.6404090915</v>
      </c>
      <c r="G261" s="337">
        <f>$G$21</f>
        <v>8.3299999999999999E-2</v>
      </c>
      <c r="H261" s="275">
        <f>+G261*F261</f>
        <v>478612.94824607734</v>
      </c>
      <c r="I261" s="338"/>
      <c r="J261" s="338"/>
      <c r="K261" s="71"/>
      <c r="L261" s="163"/>
      <c r="M261" s="49"/>
      <c r="N261" s="86"/>
      <c r="O261" s="117"/>
      <c r="P261" s="97">
        <f>H261</f>
        <v>478612.94824607734</v>
      </c>
      <c r="Q261" s="105"/>
      <c r="R261" s="55"/>
      <c r="S261" s="185"/>
    </row>
    <row r="262" spans="2:19" s="5" customFormat="1">
      <c r="B262" s="294"/>
      <c r="C262" s="826"/>
      <c r="D262" s="131" t="s">
        <v>39</v>
      </c>
      <c r="E262" s="470">
        <f>F261/(5*F260)</f>
        <v>168989.81295320857</v>
      </c>
      <c r="F262" s="331">
        <f>E262*(F260*7)</f>
        <v>8043915.0965727279</v>
      </c>
      <c r="G262" s="339">
        <f>$G$22</f>
        <v>20</v>
      </c>
      <c r="H262" s="275">
        <f>F262/G262</f>
        <v>402195.75482863642</v>
      </c>
      <c r="I262" s="340">
        <v>0</v>
      </c>
      <c r="J262" s="340"/>
      <c r="K262" s="71">
        <f>SUM(G254:G262)</f>
        <v>32.883299999999998</v>
      </c>
      <c r="L262" s="163"/>
      <c r="M262" s="49"/>
      <c r="N262" s="86"/>
      <c r="O262" s="117"/>
      <c r="P262" s="97">
        <f>H262</f>
        <v>402195.75482863642</v>
      </c>
      <c r="Q262" s="105"/>
      <c r="R262" s="55"/>
      <c r="S262" s="185"/>
    </row>
    <row r="263" spans="2:19" s="5" customFormat="1">
      <c r="B263" s="297"/>
      <c r="C263" s="826"/>
      <c r="D263" s="131" t="s">
        <v>354</v>
      </c>
      <c r="E263" s="470">
        <v>8.3333333333333329E-2</v>
      </c>
      <c r="F263" s="331">
        <f>H262</f>
        <v>402195.75482863642</v>
      </c>
      <c r="G263" s="439">
        <v>1</v>
      </c>
      <c r="H263" s="275">
        <f>F263*E263</f>
        <v>33516.312902386366</v>
      </c>
      <c r="I263" s="340">
        <v>0</v>
      </c>
      <c r="J263" s="340">
        <f>SUM(H260:H263)</f>
        <v>6659978.656386192</v>
      </c>
      <c r="K263" s="71">
        <f>SUM(G255:G263)</f>
        <v>33.283299999999997</v>
      </c>
      <c r="L263" s="163"/>
      <c r="M263" s="49"/>
      <c r="N263" s="86"/>
      <c r="O263" s="117"/>
      <c r="P263" s="97">
        <f>H263</f>
        <v>33516.312902386366</v>
      </c>
      <c r="Q263" s="105"/>
      <c r="R263" s="55"/>
      <c r="S263" s="185"/>
    </row>
    <row r="264" spans="2:19" s="5" customFormat="1">
      <c r="B264" s="294"/>
      <c r="C264" s="826"/>
      <c r="D264" s="119"/>
      <c r="E264" s="471"/>
      <c r="F264" s="341"/>
      <c r="G264" s="342"/>
      <c r="H264" s="343"/>
      <c r="I264" s="333"/>
      <c r="J264" s="333"/>
      <c r="K264" s="71"/>
      <c r="L264" s="163"/>
      <c r="M264" s="49"/>
      <c r="N264" s="103"/>
      <c r="O264" s="104"/>
      <c r="P264" s="104"/>
      <c r="Q264" s="105"/>
      <c r="R264" s="55"/>
      <c r="S264" s="185"/>
    </row>
    <row r="265" spans="2:19" s="5" customFormat="1" ht="15" customHeight="1">
      <c r="B265" s="398">
        <v>23</v>
      </c>
      <c r="C265" s="1006">
        <v>1</v>
      </c>
      <c r="D265" s="122" t="s">
        <v>60</v>
      </c>
      <c r="E265" s="467">
        <f>'SICA a Marzo2026'!E27</f>
        <v>551815.19999999995</v>
      </c>
      <c r="F265" s="341"/>
      <c r="G265" s="344"/>
      <c r="H265" s="345"/>
      <c r="I265" s="346"/>
      <c r="J265" s="346"/>
      <c r="L265" s="163"/>
      <c r="M265" s="16"/>
      <c r="N265" s="103"/>
      <c r="O265" s="104"/>
      <c r="P265" s="104"/>
      <c r="Q265" s="105"/>
      <c r="R265" s="22"/>
      <c r="S265" s="185"/>
    </row>
    <row r="266" spans="2:19" s="5" customFormat="1">
      <c r="B266" s="294"/>
      <c r="C266" s="826"/>
      <c r="D266" s="119" t="s">
        <v>262</v>
      </c>
      <c r="E266" s="467" t="s">
        <v>33</v>
      </c>
      <c r="F266" s="331">
        <f>E265</f>
        <v>551815.19999999995</v>
      </c>
      <c r="G266" s="276">
        <v>0.6</v>
      </c>
      <c r="H266" s="275">
        <f>+G266*F266</f>
        <v>331089.11999999994</v>
      </c>
      <c r="I266" s="333"/>
      <c r="J266" s="333"/>
      <c r="K266" s="71"/>
      <c r="L266" s="163"/>
      <c r="M266" s="49"/>
      <c r="N266" s="86">
        <f>H266</f>
        <v>331089.11999999994</v>
      </c>
      <c r="O266" s="112"/>
      <c r="P266" s="86"/>
      <c r="Q266" s="87"/>
      <c r="R266" s="55"/>
      <c r="S266" s="185"/>
    </row>
    <row r="267" spans="2:19" s="5" customFormat="1">
      <c r="B267" s="294"/>
      <c r="C267" s="826"/>
      <c r="D267" s="119" t="s">
        <v>4</v>
      </c>
      <c r="E267" s="467" t="s">
        <v>33</v>
      </c>
      <c r="F267" s="331">
        <f>E265</f>
        <v>551815.19999999995</v>
      </c>
      <c r="G267" s="275">
        <f>$F$4</f>
        <v>6</v>
      </c>
      <c r="H267" s="275">
        <f>+G267*F267</f>
        <v>3310891.1999999997</v>
      </c>
      <c r="I267" s="333"/>
      <c r="J267" s="333"/>
      <c r="K267" s="71"/>
      <c r="L267" s="163"/>
      <c r="M267" s="49"/>
      <c r="N267" s="86"/>
      <c r="O267" s="112">
        <f>H267</f>
        <v>3310891.1999999997</v>
      </c>
      <c r="P267" s="86"/>
      <c r="Q267" s="87"/>
      <c r="R267" s="55"/>
      <c r="S267" s="185"/>
    </row>
    <row r="268" spans="2:19" s="5" customFormat="1">
      <c r="B268" s="294"/>
      <c r="C268" s="826"/>
      <c r="D268" s="119" t="s">
        <v>34</v>
      </c>
      <c r="E268" s="468">
        <f>$H$5+2</f>
        <v>13.25</v>
      </c>
      <c r="F268" s="331">
        <f>E265/44*1.5</f>
        <v>18811.881818181817</v>
      </c>
      <c r="G268" s="334">
        <f>$F$4</f>
        <v>6</v>
      </c>
      <c r="H268" s="275">
        <f>+G268*F268*E268</f>
        <v>1495544.6045454543</v>
      </c>
      <c r="I268" s="333"/>
      <c r="J268" s="333"/>
      <c r="K268" s="71"/>
      <c r="L268" s="163"/>
      <c r="M268" s="49"/>
      <c r="N268" s="86"/>
      <c r="O268" s="112">
        <f>H268</f>
        <v>1495544.6045454543</v>
      </c>
      <c r="P268" s="86"/>
      <c r="Q268" s="87"/>
      <c r="R268" s="55"/>
      <c r="S268" s="185"/>
    </row>
    <row r="269" spans="2:19" s="5" customFormat="1">
      <c r="B269" s="294"/>
      <c r="C269" s="826"/>
      <c r="D269" s="119" t="s">
        <v>1</v>
      </c>
      <c r="E269" s="469" t="s">
        <v>35</v>
      </c>
      <c r="F269" s="331">
        <f>E265/5*1.5</f>
        <v>165544.56</v>
      </c>
      <c r="G269" s="275">
        <f>$H$3</f>
        <v>0</v>
      </c>
      <c r="H269" s="275">
        <f>+G269*F269</f>
        <v>0</v>
      </c>
      <c r="I269" s="333"/>
      <c r="J269" s="333"/>
      <c r="K269" s="71"/>
      <c r="L269" s="163"/>
      <c r="M269" s="49"/>
      <c r="N269" s="86"/>
      <c r="O269" s="112">
        <f>H269</f>
        <v>0</v>
      </c>
      <c r="P269" s="86"/>
      <c r="Q269" s="87"/>
      <c r="R269" s="55"/>
      <c r="S269" s="185"/>
    </row>
    <row r="270" spans="2:19" s="5" customFormat="1">
      <c r="B270" s="294"/>
      <c r="C270" s="826"/>
      <c r="D270" s="119" t="s">
        <v>5</v>
      </c>
      <c r="E270" s="469" t="s">
        <v>35</v>
      </c>
      <c r="F270" s="331">
        <f>E265/5*2</f>
        <v>220726.08</v>
      </c>
      <c r="G270" s="275">
        <f>$H$4</f>
        <v>0</v>
      </c>
      <c r="H270" s="275">
        <f>+G270*F270</f>
        <v>0</v>
      </c>
      <c r="I270" s="333"/>
      <c r="J270" s="333"/>
      <c r="K270" s="71"/>
      <c r="L270" s="163"/>
      <c r="M270" s="49"/>
      <c r="N270" s="86"/>
      <c r="O270" s="112">
        <f>H270</f>
        <v>0</v>
      </c>
      <c r="P270" s="86"/>
      <c r="Q270" s="87"/>
      <c r="R270" s="55"/>
      <c r="S270" s="185"/>
    </row>
    <row r="271" spans="2:19" s="5" customFormat="1">
      <c r="B271" s="294"/>
      <c r="C271" s="826"/>
      <c r="D271" s="119" t="s">
        <v>50</v>
      </c>
      <c r="E271" s="467" t="s">
        <v>33</v>
      </c>
      <c r="F271" s="331">
        <f>E265</f>
        <v>551815.19999999995</v>
      </c>
      <c r="G271" s="276">
        <v>0.2</v>
      </c>
      <c r="H271" s="275">
        <f>+G271*F271</f>
        <v>110363.04</v>
      </c>
      <c r="I271" s="333"/>
      <c r="J271" s="333"/>
      <c r="K271" s="71"/>
      <c r="L271" s="163"/>
      <c r="M271" s="49"/>
      <c r="N271" s="86"/>
      <c r="O271" s="112"/>
      <c r="P271" s="86">
        <f>SUM(H271)</f>
        <v>110363.04</v>
      </c>
      <c r="Q271" s="87"/>
      <c r="R271" s="55"/>
      <c r="S271" s="185"/>
    </row>
    <row r="272" spans="2:19" s="5" customFormat="1">
      <c r="B272" s="294"/>
      <c r="C272" s="826"/>
      <c r="D272" s="119" t="s">
        <v>36</v>
      </c>
      <c r="E272" s="469" t="s">
        <v>21</v>
      </c>
      <c r="F272" s="347">
        <f>G266+G267+G271</f>
        <v>6.8</v>
      </c>
      <c r="G272" s="336" t="s">
        <v>37</v>
      </c>
      <c r="H272" s="275">
        <f>SUM(H266:H271)</f>
        <v>5247887.9645454539</v>
      </c>
      <c r="I272" s="332"/>
      <c r="J272" s="333"/>
      <c r="K272" s="71"/>
      <c r="L272" s="163"/>
      <c r="M272" s="49"/>
      <c r="N272" s="114"/>
      <c r="O272" s="115"/>
      <c r="P272" s="112"/>
      <c r="Q272" s="87"/>
      <c r="R272" s="55"/>
      <c r="S272" s="185"/>
    </row>
    <row r="273" spans="2:19" s="5" customFormat="1">
      <c r="B273" s="294"/>
      <c r="C273" s="826"/>
      <c r="D273" s="131" t="s">
        <v>38</v>
      </c>
      <c r="E273" s="469" t="s">
        <v>21</v>
      </c>
      <c r="F273" s="331">
        <f>SUM(H266:H271)</f>
        <v>5247887.9645454539</v>
      </c>
      <c r="G273" s="337">
        <f>$G$21</f>
        <v>8.3299999999999999E-2</v>
      </c>
      <c r="H273" s="275">
        <f>+G273*F273</f>
        <v>437149.06744663633</v>
      </c>
      <c r="I273" s="338"/>
      <c r="J273" s="338"/>
      <c r="K273" s="71"/>
      <c r="L273" s="163"/>
      <c r="M273" s="49"/>
      <c r="N273" s="86"/>
      <c r="O273" s="117"/>
      <c r="P273" s="97">
        <f>H273</f>
        <v>437149.06744663633</v>
      </c>
      <c r="Q273" s="105"/>
      <c r="R273" s="55"/>
      <c r="S273" s="185"/>
    </row>
    <row r="274" spans="2:19" s="5" customFormat="1">
      <c r="B274" s="294"/>
      <c r="C274" s="826"/>
      <c r="D274" s="131" t="s">
        <v>39</v>
      </c>
      <c r="E274" s="470">
        <f>F273/(5*F272)</f>
        <v>154349.64601604277</v>
      </c>
      <c r="F274" s="331">
        <f>E274*(F272*7)</f>
        <v>7347043.1503636362</v>
      </c>
      <c r="G274" s="339">
        <f>$G$22</f>
        <v>20</v>
      </c>
      <c r="H274" s="275">
        <f>F274/G274</f>
        <v>367352.15751818183</v>
      </c>
      <c r="I274" s="340">
        <v>0</v>
      </c>
      <c r="J274" s="340"/>
      <c r="K274" s="71">
        <f>SUM(G266:G274)</f>
        <v>32.883299999999998</v>
      </c>
      <c r="L274" s="163"/>
      <c r="M274" s="49"/>
      <c r="N274" s="86"/>
      <c r="O274" s="117"/>
      <c r="P274" s="97">
        <f>H274</f>
        <v>367352.15751818183</v>
      </c>
      <c r="Q274" s="105"/>
      <c r="R274" s="55"/>
      <c r="S274" s="185"/>
    </row>
    <row r="275" spans="2:19" s="5" customFormat="1">
      <c r="B275" s="297"/>
      <c r="C275" s="826"/>
      <c r="D275" s="131" t="s">
        <v>354</v>
      </c>
      <c r="E275" s="470">
        <v>8.3333333333333329E-2</v>
      </c>
      <c r="F275" s="331">
        <f>H274</f>
        <v>367352.15751818183</v>
      </c>
      <c r="G275" s="439">
        <v>1</v>
      </c>
      <c r="H275" s="275">
        <f>F275*E275</f>
        <v>30612.679793181818</v>
      </c>
      <c r="I275" s="340">
        <v>0</v>
      </c>
      <c r="J275" s="340">
        <f>SUM(H272:H275)</f>
        <v>6083001.8693034537</v>
      </c>
      <c r="K275" s="71">
        <f>SUM(G267:G275)</f>
        <v>33.283299999999997</v>
      </c>
      <c r="L275" s="163"/>
      <c r="M275" s="49"/>
      <c r="N275" s="86"/>
      <c r="O275" s="117"/>
      <c r="P275" s="97">
        <f>H275</f>
        <v>30612.679793181818</v>
      </c>
      <c r="Q275" s="105"/>
      <c r="R275" s="55"/>
      <c r="S275" s="185"/>
    </row>
    <row r="276" spans="2:19" s="5" customFormat="1">
      <c r="B276" s="294"/>
      <c r="C276" s="826"/>
      <c r="D276" s="119"/>
      <c r="E276" s="471"/>
      <c r="F276" s="341"/>
      <c r="G276" s="342"/>
      <c r="H276" s="343"/>
      <c r="I276" s="333"/>
      <c r="J276" s="333"/>
      <c r="K276" s="71"/>
      <c r="L276" s="163"/>
      <c r="M276" s="49"/>
      <c r="N276" s="103"/>
      <c r="O276" s="104"/>
      <c r="P276" s="104"/>
      <c r="Q276" s="105"/>
      <c r="R276" s="55"/>
      <c r="S276" s="185"/>
    </row>
    <row r="277" spans="2:19" s="5" customFormat="1" ht="15" customHeight="1">
      <c r="B277" s="398">
        <v>24</v>
      </c>
      <c r="C277" s="1006">
        <v>1</v>
      </c>
      <c r="D277" s="122" t="s">
        <v>61</v>
      </c>
      <c r="E277" s="467">
        <f>'SICA a Marzo2026'!E28</f>
        <v>499230</v>
      </c>
      <c r="F277" s="341"/>
      <c r="G277" s="344"/>
      <c r="H277" s="345"/>
      <c r="I277" s="346"/>
      <c r="J277" s="346"/>
      <c r="L277" s="163"/>
      <c r="M277" s="16"/>
      <c r="N277" s="103"/>
      <c r="O277" s="104"/>
      <c r="P277" s="104"/>
      <c r="Q277" s="105"/>
      <c r="R277" s="22"/>
      <c r="S277" s="185"/>
    </row>
    <row r="278" spans="2:19" s="5" customFormat="1">
      <c r="B278" s="294"/>
      <c r="C278" s="826"/>
      <c r="D278" s="119" t="s">
        <v>258</v>
      </c>
      <c r="E278" s="467" t="s">
        <v>33</v>
      </c>
      <c r="F278" s="331">
        <f>E277</f>
        <v>499230</v>
      </c>
      <c r="G278" s="276">
        <v>0.6</v>
      </c>
      <c r="H278" s="275">
        <f>+G278*F278</f>
        <v>299538</v>
      </c>
      <c r="I278" s="333"/>
      <c r="J278" s="333"/>
      <c r="K278" s="71"/>
      <c r="L278" s="163"/>
      <c r="M278" s="49"/>
      <c r="N278" s="86">
        <f>H278</f>
        <v>299538</v>
      </c>
      <c r="O278" s="112"/>
      <c r="P278" s="86"/>
      <c r="Q278" s="87"/>
      <c r="R278" s="55"/>
      <c r="S278" s="185"/>
    </row>
    <row r="279" spans="2:19" s="5" customFormat="1">
      <c r="B279" s="294"/>
      <c r="C279" s="826"/>
      <c r="D279" s="119" t="s">
        <v>4</v>
      </c>
      <c r="E279" s="467" t="s">
        <v>33</v>
      </c>
      <c r="F279" s="331">
        <f>E277</f>
        <v>499230</v>
      </c>
      <c r="G279" s="275">
        <f>$F$4</f>
        <v>6</v>
      </c>
      <c r="H279" s="275">
        <f>+G279*F279</f>
        <v>2995380</v>
      </c>
      <c r="I279" s="333"/>
      <c r="J279" s="333"/>
      <c r="K279" s="71"/>
      <c r="L279" s="163"/>
      <c r="M279" s="49"/>
      <c r="N279" s="86"/>
      <c r="O279" s="112">
        <f>H279</f>
        <v>2995380</v>
      </c>
      <c r="P279" s="86"/>
      <c r="Q279" s="87"/>
      <c r="R279" s="55"/>
      <c r="S279" s="185"/>
    </row>
    <row r="280" spans="2:19" s="5" customFormat="1">
      <c r="B280" s="294"/>
      <c r="C280" s="826"/>
      <c r="D280" s="119" t="s">
        <v>34</v>
      </c>
      <c r="E280" s="468">
        <f>$H$5+2</f>
        <v>13.25</v>
      </c>
      <c r="F280" s="331">
        <f>E277/44*1.5</f>
        <v>17019.204545454544</v>
      </c>
      <c r="G280" s="334">
        <f>$F$4</f>
        <v>6</v>
      </c>
      <c r="H280" s="275">
        <f>+G280*F280*E280</f>
        <v>1353026.7613636362</v>
      </c>
      <c r="I280" s="333"/>
      <c r="J280" s="333"/>
      <c r="K280" s="71"/>
      <c r="L280" s="163"/>
      <c r="M280" s="49"/>
      <c r="N280" s="86"/>
      <c r="O280" s="112">
        <f>H280</f>
        <v>1353026.7613636362</v>
      </c>
      <c r="P280" s="86"/>
      <c r="Q280" s="87"/>
      <c r="R280" s="55"/>
      <c r="S280" s="185"/>
    </row>
    <row r="281" spans="2:19" s="5" customFormat="1">
      <c r="B281" s="294"/>
      <c r="C281" s="826"/>
      <c r="D281" s="119" t="s">
        <v>1</v>
      </c>
      <c r="E281" s="469" t="s">
        <v>35</v>
      </c>
      <c r="F281" s="331">
        <f>E277/5*1.5</f>
        <v>149769</v>
      </c>
      <c r="G281" s="275">
        <f>$H$3</f>
        <v>0</v>
      </c>
      <c r="H281" s="275">
        <f>+G281*F281</f>
        <v>0</v>
      </c>
      <c r="I281" s="333"/>
      <c r="J281" s="333"/>
      <c r="K281" s="71"/>
      <c r="L281" s="163"/>
      <c r="M281" s="49"/>
      <c r="N281" s="86"/>
      <c r="O281" s="112">
        <f>H281</f>
        <v>0</v>
      </c>
      <c r="P281" s="86"/>
      <c r="Q281" s="87"/>
      <c r="R281" s="55"/>
      <c r="S281" s="185"/>
    </row>
    <row r="282" spans="2:19" s="5" customFormat="1">
      <c r="B282" s="294"/>
      <c r="C282" s="826"/>
      <c r="D282" s="119" t="s">
        <v>5</v>
      </c>
      <c r="E282" s="469" t="s">
        <v>35</v>
      </c>
      <c r="F282" s="331">
        <f>E277/5*2</f>
        <v>199692</v>
      </c>
      <c r="G282" s="275">
        <f>$H$4</f>
        <v>0</v>
      </c>
      <c r="H282" s="275">
        <f>+G282*F282</f>
        <v>0</v>
      </c>
      <c r="I282" s="333"/>
      <c r="J282" s="333"/>
      <c r="K282" s="71"/>
      <c r="L282" s="163"/>
      <c r="M282" s="49"/>
      <c r="N282" s="86"/>
      <c r="O282" s="112">
        <f>H282</f>
        <v>0</v>
      </c>
      <c r="P282" s="86"/>
      <c r="Q282" s="87"/>
      <c r="R282" s="55"/>
      <c r="S282" s="185"/>
    </row>
    <row r="283" spans="2:19" s="5" customFormat="1">
      <c r="B283" s="294"/>
      <c r="C283" s="826"/>
      <c r="D283" s="119" t="s">
        <v>50</v>
      </c>
      <c r="E283" s="467" t="s">
        <v>33</v>
      </c>
      <c r="F283" s="331">
        <f>E277</f>
        <v>499230</v>
      </c>
      <c r="G283" s="276">
        <v>0.2</v>
      </c>
      <c r="H283" s="275">
        <f>+G283*F283</f>
        <v>99846</v>
      </c>
      <c r="I283" s="333"/>
      <c r="J283" s="333"/>
      <c r="K283" s="71"/>
      <c r="L283" s="163"/>
      <c r="M283" s="49"/>
      <c r="N283" s="86"/>
      <c r="O283" s="112"/>
      <c r="P283" s="86">
        <f>SUM(H283)</f>
        <v>99846</v>
      </c>
      <c r="Q283" s="87"/>
      <c r="R283" s="55"/>
      <c r="S283" s="185"/>
    </row>
    <row r="284" spans="2:19" s="5" customFormat="1">
      <c r="B284" s="294"/>
      <c r="C284" s="826"/>
      <c r="D284" s="119" t="s">
        <v>36</v>
      </c>
      <c r="E284" s="469" t="s">
        <v>21</v>
      </c>
      <c r="F284" s="347">
        <f>G278+G279+G283</f>
        <v>6.8</v>
      </c>
      <c r="G284" s="336" t="s">
        <v>37</v>
      </c>
      <c r="H284" s="275">
        <f>SUM(H278:H283)</f>
        <v>4747790.7613636367</v>
      </c>
      <c r="I284" s="332"/>
      <c r="J284" s="333"/>
      <c r="K284" s="71"/>
      <c r="L284" s="163"/>
      <c r="M284" s="49"/>
      <c r="N284" s="114"/>
      <c r="O284" s="115"/>
      <c r="P284" s="112"/>
      <c r="Q284" s="87"/>
      <c r="R284" s="55"/>
      <c r="S284" s="185"/>
    </row>
    <row r="285" spans="2:19" s="5" customFormat="1">
      <c r="B285" s="294"/>
      <c r="C285" s="826"/>
      <c r="D285" s="131" t="s">
        <v>38</v>
      </c>
      <c r="E285" s="469" t="s">
        <v>21</v>
      </c>
      <c r="F285" s="331">
        <f>SUM(H278:H283)</f>
        <v>4747790.7613636367</v>
      </c>
      <c r="G285" s="337">
        <f>$G$21</f>
        <v>8.3299999999999999E-2</v>
      </c>
      <c r="H285" s="275">
        <f>+G285*F285</f>
        <v>395490.97042159096</v>
      </c>
      <c r="I285" s="338"/>
      <c r="J285" s="338"/>
      <c r="K285" s="71"/>
      <c r="L285" s="163"/>
      <c r="M285" s="49"/>
      <c r="N285" s="86"/>
      <c r="O285" s="117"/>
      <c r="P285" s="97">
        <f>H285</f>
        <v>395490.97042159096</v>
      </c>
      <c r="Q285" s="105"/>
      <c r="R285" s="55"/>
      <c r="S285" s="185"/>
    </row>
    <row r="286" spans="2:19" s="5" customFormat="1">
      <c r="B286" s="294"/>
      <c r="C286" s="826"/>
      <c r="D286" s="131" t="s">
        <v>39</v>
      </c>
      <c r="E286" s="470">
        <f>F285/(5*F284)</f>
        <v>139640.9047459893</v>
      </c>
      <c r="F286" s="331">
        <f>E286*(F284*7)</f>
        <v>6646907.0659090914</v>
      </c>
      <c r="G286" s="339">
        <f>$G$22</f>
        <v>20</v>
      </c>
      <c r="H286" s="275">
        <f>F286/G286</f>
        <v>332345.35329545458</v>
      </c>
      <c r="I286" s="340">
        <v>0</v>
      </c>
      <c r="J286" s="340"/>
      <c r="K286" s="71">
        <f>SUM(G278:G286)</f>
        <v>32.883299999999998</v>
      </c>
      <c r="L286" s="163"/>
      <c r="M286" s="49"/>
      <c r="N286" s="86"/>
      <c r="O286" s="117"/>
      <c r="P286" s="97">
        <f>H286</f>
        <v>332345.35329545458</v>
      </c>
      <c r="Q286" s="105"/>
      <c r="R286" s="55"/>
      <c r="S286" s="185"/>
    </row>
    <row r="287" spans="2:19" s="5" customFormat="1">
      <c r="B287" s="297"/>
      <c r="C287" s="826"/>
      <c r="D287" s="131" t="s">
        <v>354</v>
      </c>
      <c r="E287" s="470">
        <v>8.3333333333333329E-2</v>
      </c>
      <c r="F287" s="331">
        <f>H286</f>
        <v>332345.35329545458</v>
      </c>
      <c r="G287" s="439">
        <v>1</v>
      </c>
      <c r="H287" s="275">
        <f>F287*E287</f>
        <v>27695.446107954547</v>
      </c>
      <c r="I287" s="340">
        <v>0</v>
      </c>
      <c r="J287" s="340">
        <f>SUM(H284:H287)</f>
        <v>5503322.531188637</v>
      </c>
      <c r="K287" s="71">
        <f>SUM(G279:G287)</f>
        <v>33.283299999999997</v>
      </c>
      <c r="L287" s="163"/>
      <c r="M287" s="49"/>
      <c r="N287" s="86"/>
      <c r="O287" s="117"/>
      <c r="P287" s="97">
        <f>H287</f>
        <v>27695.446107954547</v>
      </c>
      <c r="Q287" s="105"/>
      <c r="R287" s="55"/>
      <c r="S287" s="185"/>
    </row>
    <row r="288" spans="2:19" s="5" customFormat="1">
      <c r="B288" s="294"/>
      <c r="C288" s="826"/>
      <c r="D288" s="119"/>
      <c r="E288" s="471"/>
      <c r="F288" s="341"/>
      <c r="G288" s="342"/>
      <c r="H288" s="343"/>
      <c r="I288" s="333"/>
      <c r="J288" s="333"/>
      <c r="K288" s="71"/>
      <c r="L288" s="163"/>
      <c r="M288" s="49"/>
      <c r="N288" s="103"/>
      <c r="O288" s="104"/>
      <c r="P288" s="104"/>
      <c r="Q288" s="105"/>
      <c r="R288" s="55"/>
      <c r="S288" s="185"/>
    </row>
    <row r="289" spans="2:19" s="5" customFormat="1" ht="15" customHeight="1">
      <c r="B289" s="398">
        <v>25</v>
      </c>
      <c r="C289" s="1006">
        <v>1</v>
      </c>
      <c r="D289" s="122" t="s">
        <v>62</v>
      </c>
      <c r="E289" s="467">
        <f>'SICA a Marzo2026'!E29</f>
        <v>446644.8</v>
      </c>
      <c r="F289" s="331">
        <f>E289</f>
        <v>446644.8</v>
      </c>
      <c r="G289" s="344"/>
      <c r="H289" s="345"/>
      <c r="I289" s="346"/>
      <c r="J289" s="346"/>
      <c r="K289" s="71"/>
      <c r="L289" s="163"/>
      <c r="M289" s="16"/>
      <c r="N289" s="103"/>
      <c r="O289" s="104"/>
      <c r="P289" s="104"/>
      <c r="Q289" s="105"/>
      <c r="R289" s="22"/>
      <c r="S289" s="185"/>
    </row>
    <row r="290" spans="2:19" s="5" customFormat="1">
      <c r="B290" s="294"/>
      <c r="C290" s="826"/>
      <c r="D290" s="119" t="s">
        <v>258</v>
      </c>
      <c r="E290" s="467" t="s">
        <v>33</v>
      </c>
      <c r="F290" s="331">
        <f>F289</f>
        <v>446644.8</v>
      </c>
      <c r="G290" s="276">
        <v>0.6</v>
      </c>
      <c r="H290" s="275">
        <f>+G290*F290</f>
        <v>267986.88</v>
      </c>
      <c r="I290" s="333"/>
      <c r="J290" s="333"/>
      <c r="K290" s="71"/>
      <c r="L290" s="163"/>
      <c r="M290" s="49"/>
      <c r="N290" s="86">
        <f>H290</f>
        <v>267986.88</v>
      </c>
      <c r="O290" s="112"/>
      <c r="P290" s="86"/>
      <c r="Q290" s="87"/>
      <c r="R290" s="55"/>
      <c r="S290" s="185"/>
    </row>
    <row r="291" spans="2:19" s="5" customFormat="1">
      <c r="B291" s="294"/>
      <c r="C291" s="826"/>
      <c r="D291" s="119" t="s">
        <v>4</v>
      </c>
      <c r="E291" s="467" t="s">
        <v>33</v>
      </c>
      <c r="F291" s="331">
        <f>F289</f>
        <v>446644.8</v>
      </c>
      <c r="G291" s="275">
        <f>$F$4</f>
        <v>6</v>
      </c>
      <c r="H291" s="275">
        <f>+G291*F291</f>
        <v>2679868.7999999998</v>
      </c>
      <c r="I291" s="333"/>
      <c r="J291" s="333"/>
      <c r="K291" s="71"/>
      <c r="L291" s="163"/>
      <c r="M291" s="49"/>
      <c r="N291" s="86"/>
      <c r="O291" s="112">
        <f>H291</f>
        <v>2679868.7999999998</v>
      </c>
      <c r="P291" s="86"/>
      <c r="Q291" s="87"/>
      <c r="R291" s="55"/>
      <c r="S291" s="185"/>
    </row>
    <row r="292" spans="2:19" s="5" customFormat="1">
      <c r="B292" s="294"/>
      <c r="C292" s="826"/>
      <c r="D292" s="119" t="s">
        <v>34</v>
      </c>
      <c r="E292" s="468">
        <f>$H$5+2</f>
        <v>13.25</v>
      </c>
      <c r="F292" s="331">
        <f>F289/44*1.5</f>
        <v>15226.527272727271</v>
      </c>
      <c r="G292" s="334">
        <f>$F$4</f>
        <v>6</v>
      </c>
      <c r="H292" s="275">
        <f>+G292*F292*E292</f>
        <v>1210508.9181818182</v>
      </c>
      <c r="I292" s="333"/>
      <c r="J292" s="333"/>
      <c r="K292" s="71"/>
      <c r="L292" s="163"/>
      <c r="M292" s="49"/>
      <c r="N292" s="86"/>
      <c r="O292" s="112">
        <f>H292</f>
        <v>1210508.9181818182</v>
      </c>
      <c r="P292" s="86"/>
      <c r="Q292" s="87"/>
      <c r="R292" s="55"/>
      <c r="S292" s="185"/>
    </row>
    <row r="293" spans="2:19" s="5" customFormat="1">
      <c r="B293" s="294"/>
      <c r="C293" s="826"/>
      <c r="D293" s="119" t="s">
        <v>1</v>
      </c>
      <c r="E293" s="469" t="s">
        <v>35</v>
      </c>
      <c r="F293" s="331">
        <f>F289/5*1.5</f>
        <v>133993.44</v>
      </c>
      <c r="G293" s="275">
        <f>$H$3</f>
        <v>0</v>
      </c>
      <c r="H293" s="275">
        <f>+G293*F293</f>
        <v>0</v>
      </c>
      <c r="I293" s="333"/>
      <c r="J293" s="333"/>
      <c r="K293" s="71"/>
      <c r="L293" s="163"/>
      <c r="M293" s="49"/>
      <c r="N293" s="86"/>
      <c r="O293" s="112">
        <f>H293</f>
        <v>0</v>
      </c>
      <c r="P293" s="86"/>
      <c r="Q293" s="87"/>
      <c r="R293" s="55"/>
      <c r="S293" s="185"/>
    </row>
    <row r="294" spans="2:19" s="5" customFormat="1">
      <c r="B294" s="294"/>
      <c r="C294" s="826"/>
      <c r="D294" s="119" t="s">
        <v>5</v>
      </c>
      <c r="E294" s="469" t="s">
        <v>35</v>
      </c>
      <c r="F294" s="331">
        <f>F289/5*2</f>
        <v>178657.91999999998</v>
      </c>
      <c r="G294" s="275">
        <f>$H$4</f>
        <v>0</v>
      </c>
      <c r="H294" s="275">
        <f>+G294*F294</f>
        <v>0</v>
      </c>
      <c r="I294" s="333"/>
      <c r="J294" s="333"/>
      <c r="K294" s="71"/>
      <c r="L294" s="163"/>
      <c r="M294" s="49"/>
      <c r="N294" s="86"/>
      <c r="O294" s="112">
        <f>H294</f>
        <v>0</v>
      </c>
      <c r="P294" s="86"/>
      <c r="Q294" s="87"/>
      <c r="R294" s="55"/>
      <c r="S294" s="185"/>
    </row>
    <row r="295" spans="2:19" s="5" customFormat="1">
      <c r="B295" s="294"/>
      <c r="C295" s="826"/>
      <c r="D295" s="119" t="s">
        <v>50</v>
      </c>
      <c r="E295" s="467" t="s">
        <v>33</v>
      </c>
      <c r="F295" s="331">
        <f>F289</f>
        <v>446644.8</v>
      </c>
      <c r="G295" s="276">
        <v>0.2</v>
      </c>
      <c r="H295" s="275">
        <f>+G295*F295</f>
        <v>89328.960000000006</v>
      </c>
      <c r="I295" s="333"/>
      <c r="J295" s="333"/>
      <c r="K295" s="71"/>
      <c r="L295" s="163"/>
      <c r="M295" s="49"/>
      <c r="N295" s="86"/>
      <c r="O295" s="112"/>
      <c r="P295" s="86">
        <f>SUM(H295)</f>
        <v>89328.960000000006</v>
      </c>
      <c r="Q295" s="87"/>
      <c r="R295" s="55"/>
      <c r="S295" s="185"/>
    </row>
    <row r="296" spans="2:19" s="5" customFormat="1">
      <c r="B296" s="294"/>
      <c r="C296" s="826"/>
      <c r="D296" s="119" t="s">
        <v>36</v>
      </c>
      <c r="E296" s="469" t="s">
        <v>21</v>
      </c>
      <c r="F296" s="347">
        <f>G290+G291+G295</f>
        <v>6.8</v>
      </c>
      <c r="G296" s="336" t="s">
        <v>37</v>
      </c>
      <c r="H296" s="275">
        <f>SUM(H290:H295)</f>
        <v>4247693.5581818176</v>
      </c>
      <c r="I296" s="332"/>
      <c r="J296" s="333"/>
      <c r="K296" s="71"/>
      <c r="L296" s="163"/>
      <c r="M296" s="49"/>
      <c r="N296" s="114"/>
      <c r="O296" s="115"/>
      <c r="P296" s="112"/>
      <c r="Q296" s="87"/>
      <c r="R296" s="55"/>
      <c r="S296" s="185"/>
    </row>
    <row r="297" spans="2:19" s="5" customFormat="1">
      <c r="B297" s="294"/>
      <c r="C297" s="826"/>
      <c r="D297" s="131" t="s">
        <v>38</v>
      </c>
      <c r="E297" s="469" t="s">
        <v>21</v>
      </c>
      <c r="F297" s="331">
        <f>SUM(H290:H295)</f>
        <v>4247693.5581818176</v>
      </c>
      <c r="G297" s="337">
        <f>$G$21</f>
        <v>8.3299999999999999E-2</v>
      </c>
      <c r="H297" s="275">
        <f>+G297*F297</f>
        <v>353832.87339654542</v>
      </c>
      <c r="I297" s="338"/>
      <c r="J297" s="338"/>
      <c r="K297" s="71"/>
      <c r="L297" s="163"/>
      <c r="M297" s="49"/>
      <c r="N297" s="86"/>
      <c r="O297" s="117"/>
      <c r="P297" s="97">
        <f>H297</f>
        <v>353832.87339654542</v>
      </c>
      <c r="Q297" s="105"/>
      <c r="R297" s="55"/>
      <c r="S297" s="185"/>
    </row>
    <row r="298" spans="2:19" s="5" customFormat="1">
      <c r="B298" s="294"/>
      <c r="C298" s="826"/>
      <c r="D298" s="131" t="s">
        <v>39</v>
      </c>
      <c r="E298" s="470">
        <f>F297/(5*F296)</f>
        <v>124932.16347593581</v>
      </c>
      <c r="F298" s="331">
        <f>E298*(F296*7)</f>
        <v>5946770.9814545447</v>
      </c>
      <c r="G298" s="339">
        <f>$G$22</f>
        <v>20</v>
      </c>
      <c r="H298" s="275">
        <f>F298/G298</f>
        <v>297338.54907272721</v>
      </c>
      <c r="I298" s="340">
        <v>0</v>
      </c>
      <c r="J298" s="340"/>
      <c r="K298" s="71">
        <f>SUM(G290:G298)</f>
        <v>32.883299999999998</v>
      </c>
      <c r="L298" s="163"/>
      <c r="M298" s="49"/>
      <c r="N298" s="86"/>
      <c r="O298" s="117"/>
      <c r="P298" s="97">
        <f>H298</f>
        <v>297338.54907272721</v>
      </c>
      <c r="Q298" s="105"/>
      <c r="R298" s="55"/>
      <c r="S298" s="185"/>
    </row>
    <row r="299" spans="2:19" s="5" customFormat="1">
      <c r="B299" s="297"/>
      <c r="C299" s="826"/>
      <c r="D299" s="131" t="s">
        <v>354</v>
      </c>
      <c r="E299" s="470">
        <v>8.3333333333333329E-2</v>
      </c>
      <c r="F299" s="331">
        <f>H298</f>
        <v>297338.54907272721</v>
      </c>
      <c r="G299" s="439">
        <v>1</v>
      </c>
      <c r="H299" s="275">
        <f>F299*E299</f>
        <v>24778.212422727265</v>
      </c>
      <c r="I299" s="340">
        <v>0</v>
      </c>
      <c r="J299" s="340">
        <f>SUM(H296:H299)</f>
        <v>4923643.1930738185</v>
      </c>
      <c r="K299" s="71">
        <f>SUM(G291:G299)</f>
        <v>33.283299999999997</v>
      </c>
      <c r="L299" s="163"/>
      <c r="M299" s="49"/>
      <c r="N299" s="86"/>
      <c r="O299" s="117"/>
      <c r="P299" s="97">
        <f>H299</f>
        <v>24778.212422727265</v>
      </c>
      <c r="Q299" s="105"/>
      <c r="R299" s="55"/>
      <c r="S299" s="185"/>
    </row>
    <row r="300" spans="2:19" s="5" customFormat="1">
      <c r="B300" s="294"/>
      <c r="C300" s="826"/>
      <c r="D300" s="119"/>
      <c r="E300" s="471"/>
      <c r="F300" s="341"/>
      <c r="G300" s="342"/>
      <c r="H300" s="343"/>
      <c r="I300" s="333"/>
      <c r="J300" s="333"/>
      <c r="K300" s="71"/>
      <c r="L300" s="163"/>
      <c r="M300" s="49"/>
      <c r="N300" s="103"/>
      <c r="O300" s="104"/>
      <c r="P300" s="104"/>
      <c r="Q300" s="105"/>
      <c r="R300" s="55"/>
      <c r="S300" s="185"/>
    </row>
    <row r="301" spans="2:19" s="5" customFormat="1" ht="15" customHeight="1">
      <c r="B301" s="398">
        <v>26</v>
      </c>
      <c r="C301" s="1006">
        <v>1</v>
      </c>
      <c r="D301" s="122" t="s">
        <v>63</v>
      </c>
      <c r="E301" s="467">
        <f>'SICA a Marzo2026'!E30</f>
        <v>446644.8</v>
      </c>
      <c r="F301" s="341"/>
      <c r="G301" s="344"/>
      <c r="H301" s="345"/>
      <c r="I301" s="346"/>
      <c r="J301" s="346"/>
      <c r="K301" s="71"/>
      <c r="L301" s="163"/>
      <c r="M301" s="16"/>
      <c r="N301" s="103"/>
      <c r="O301" s="104"/>
      <c r="P301" s="104"/>
      <c r="Q301" s="105"/>
      <c r="R301" s="22"/>
      <c r="S301" s="185"/>
    </row>
    <row r="302" spans="2:19" s="5" customFormat="1">
      <c r="B302" s="294"/>
      <c r="C302" s="826"/>
      <c r="D302" s="119" t="s">
        <v>259</v>
      </c>
      <c r="E302" s="467" t="s">
        <v>33</v>
      </c>
      <c r="F302" s="331">
        <f>E301</f>
        <v>446644.8</v>
      </c>
      <c r="G302" s="276">
        <v>0.6</v>
      </c>
      <c r="H302" s="275">
        <f>+G302*F302</f>
        <v>267986.88</v>
      </c>
      <c r="I302" s="333"/>
      <c r="J302" s="333"/>
      <c r="K302" s="71"/>
      <c r="L302" s="163"/>
      <c r="M302" s="49"/>
      <c r="N302" s="86">
        <f>H302</f>
        <v>267986.88</v>
      </c>
      <c r="O302" s="112"/>
      <c r="P302" s="86"/>
      <c r="Q302" s="105"/>
      <c r="R302" s="55"/>
      <c r="S302" s="185"/>
    </row>
    <row r="303" spans="2:19" s="5" customFormat="1">
      <c r="B303" s="294"/>
      <c r="C303" s="826"/>
      <c r="D303" s="119" t="s">
        <v>4</v>
      </c>
      <c r="E303" s="467" t="s">
        <v>33</v>
      </c>
      <c r="F303" s="331">
        <f>E301</f>
        <v>446644.8</v>
      </c>
      <c r="G303" s="275">
        <f>$F$4</f>
        <v>6</v>
      </c>
      <c r="H303" s="275">
        <f>+G303*F303</f>
        <v>2679868.7999999998</v>
      </c>
      <c r="I303" s="333"/>
      <c r="J303" s="333"/>
      <c r="K303" s="71"/>
      <c r="L303" s="163"/>
      <c r="M303" s="49"/>
      <c r="N303" s="86"/>
      <c r="O303" s="112">
        <f>H303</f>
        <v>2679868.7999999998</v>
      </c>
      <c r="P303" s="86"/>
      <c r="Q303" s="87"/>
      <c r="R303" s="55"/>
      <c r="S303" s="185"/>
    </row>
    <row r="304" spans="2:19" s="5" customFormat="1">
      <c r="B304" s="294"/>
      <c r="C304" s="826"/>
      <c r="D304" s="119" t="s">
        <v>34</v>
      </c>
      <c r="E304" s="468">
        <f>$H$5+2</f>
        <v>13.25</v>
      </c>
      <c r="F304" s="331">
        <f>E301/44*1.5</f>
        <v>15226.527272727271</v>
      </c>
      <c r="G304" s="334">
        <f>$F$4</f>
        <v>6</v>
      </c>
      <c r="H304" s="275">
        <f>+G304*F304*E304</f>
        <v>1210508.9181818182</v>
      </c>
      <c r="I304" s="333"/>
      <c r="J304" s="333"/>
      <c r="K304" s="71"/>
      <c r="L304" s="163"/>
      <c r="M304" s="49"/>
      <c r="N304" s="86"/>
      <c r="O304" s="112">
        <f>H304</f>
        <v>1210508.9181818182</v>
      </c>
      <c r="P304" s="86"/>
      <c r="Q304" s="87"/>
      <c r="R304" s="55"/>
      <c r="S304" s="185"/>
    </row>
    <row r="305" spans="2:19" s="5" customFormat="1">
      <c r="B305" s="294"/>
      <c r="C305" s="826"/>
      <c r="D305" s="119" t="s">
        <v>1</v>
      </c>
      <c r="E305" s="469" t="s">
        <v>35</v>
      </c>
      <c r="F305" s="331">
        <f>E301/5*1.5</f>
        <v>133993.44</v>
      </c>
      <c r="G305" s="275">
        <f>$H$3</f>
        <v>0</v>
      </c>
      <c r="H305" s="275">
        <f>+G305*F305</f>
        <v>0</v>
      </c>
      <c r="I305" s="333"/>
      <c r="J305" s="333"/>
      <c r="K305" s="71"/>
      <c r="L305" s="163"/>
      <c r="M305" s="49"/>
      <c r="N305" s="86"/>
      <c r="O305" s="112">
        <f>H305</f>
        <v>0</v>
      </c>
      <c r="P305" s="86"/>
      <c r="Q305" s="87"/>
      <c r="R305" s="55"/>
      <c r="S305" s="185"/>
    </row>
    <row r="306" spans="2:19" s="5" customFormat="1">
      <c r="B306" s="294"/>
      <c r="C306" s="826"/>
      <c r="D306" s="119" t="s">
        <v>5</v>
      </c>
      <c r="E306" s="469" t="s">
        <v>35</v>
      </c>
      <c r="F306" s="331">
        <f>E301/5*2</f>
        <v>178657.91999999998</v>
      </c>
      <c r="G306" s="275">
        <f>$H$4</f>
        <v>0</v>
      </c>
      <c r="H306" s="275">
        <f>+G306*F306</f>
        <v>0</v>
      </c>
      <c r="I306" s="333"/>
      <c r="J306" s="333"/>
      <c r="K306" s="71"/>
      <c r="L306" s="163"/>
      <c r="M306" s="49"/>
      <c r="N306" s="86"/>
      <c r="O306" s="112">
        <f>H306</f>
        <v>0</v>
      </c>
      <c r="P306" s="86"/>
      <c r="Q306" s="87"/>
      <c r="R306" s="55"/>
      <c r="S306" s="185"/>
    </row>
    <row r="307" spans="2:19" s="5" customFormat="1">
      <c r="B307" s="294"/>
      <c r="C307" s="826"/>
      <c r="D307" s="119" t="s">
        <v>6</v>
      </c>
      <c r="E307" s="467" t="s">
        <v>33</v>
      </c>
      <c r="F307" s="331">
        <f>E301</f>
        <v>446644.8</v>
      </c>
      <c r="G307" s="276">
        <v>0.2</v>
      </c>
      <c r="H307" s="275">
        <f>+G307*F307</f>
        <v>89328.960000000006</v>
      </c>
      <c r="I307" s="333"/>
      <c r="J307" s="333"/>
      <c r="K307" s="71"/>
      <c r="L307" s="163"/>
      <c r="M307" s="49"/>
      <c r="N307" s="86"/>
      <c r="O307" s="112"/>
      <c r="P307" s="86">
        <f>SUM(H307)</f>
        <v>89328.960000000006</v>
      </c>
      <c r="Q307" s="87"/>
      <c r="R307" s="55"/>
      <c r="S307" s="185"/>
    </row>
    <row r="308" spans="2:19" s="5" customFormat="1">
      <c r="B308" s="294"/>
      <c r="C308" s="826"/>
      <c r="D308" s="119" t="s">
        <v>36</v>
      </c>
      <c r="E308" s="469" t="s">
        <v>21</v>
      </c>
      <c r="F308" s="347">
        <f>G302+G303+G307</f>
        <v>6.8</v>
      </c>
      <c r="G308" s="336" t="s">
        <v>37</v>
      </c>
      <c r="H308" s="275">
        <f>SUM(H302:H307)</f>
        <v>4247693.5581818176</v>
      </c>
      <c r="I308" s="332"/>
      <c r="J308" s="333"/>
      <c r="K308" s="71"/>
      <c r="L308" s="163"/>
      <c r="M308" s="49"/>
      <c r="N308" s="114"/>
      <c r="O308" s="115"/>
      <c r="P308" s="112"/>
      <c r="Q308" s="87"/>
      <c r="R308" s="55"/>
      <c r="S308" s="185"/>
    </row>
    <row r="309" spans="2:19" s="5" customFormat="1">
      <c r="B309" s="294"/>
      <c r="C309" s="826"/>
      <c r="D309" s="131" t="s">
        <v>38</v>
      </c>
      <c r="E309" s="469" t="s">
        <v>21</v>
      </c>
      <c r="F309" s="331">
        <f>SUM(H302:H307)</f>
        <v>4247693.5581818176</v>
      </c>
      <c r="G309" s="337">
        <f>$G$21</f>
        <v>8.3299999999999999E-2</v>
      </c>
      <c r="H309" s="275">
        <f>+G309*F309</f>
        <v>353832.87339654542</v>
      </c>
      <c r="I309" s="338"/>
      <c r="J309" s="338"/>
      <c r="K309" s="71"/>
      <c r="L309" s="163"/>
      <c r="M309" s="49"/>
      <c r="N309" s="86"/>
      <c r="O309" s="117"/>
      <c r="P309" s="97">
        <f>H309</f>
        <v>353832.87339654542</v>
      </c>
      <c r="Q309" s="105"/>
      <c r="R309" s="55"/>
      <c r="S309" s="185"/>
    </row>
    <row r="310" spans="2:19" s="5" customFormat="1">
      <c r="B310" s="294"/>
      <c r="C310" s="826"/>
      <c r="D310" s="131" t="s">
        <v>39</v>
      </c>
      <c r="E310" s="470">
        <f>F309/(5*F308)</f>
        <v>124932.16347593581</v>
      </c>
      <c r="F310" s="331">
        <f>E310*(F308*7)</f>
        <v>5946770.9814545447</v>
      </c>
      <c r="G310" s="339">
        <f>$G$22</f>
        <v>20</v>
      </c>
      <c r="H310" s="275">
        <f>F310/G310</f>
        <v>297338.54907272721</v>
      </c>
      <c r="I310" s="340">
        <v>0</v>
      </c>
      <c r="J310" s="340"/>
      <c r="K310" s="71">
        <f>SUM(G302:G310)</f>
        <v>32.883299999999998</v>
      </c>
      <c r="L310" s="163"/>
      <c r="M310" s="49"/>
      <c r="N310" s="86"/>
      <c r="O310" s="117"/>
      <c r="P310" s="97">
        <f>H310</f>
        <v>297338.54907272721</v>
      </c>
      <c r="Q310" s="105"/>
      <c r="R310" s="55"/>
      <c r="S310" s="185"/>
    </row>
    <row r="311" spans="2:19" s="5" customFormat="1">
      <c r="B311" s="297"/>
      <c r="C311" s="826"/>
      <c r="D311" s="131" t="s">
        <v>354</v>
      </c>
      <c r="E311" s="470">
        <v>8.3333333333333329E-2</v>
      </c>
      <c r="F311" s="331">
        <f>H310</f>
        <v>297338.54907272721</v>
      </c>
      <c r="G311" s="439">
        <v>1</v>
      </c>
      <c r="H311" s="275">
        <f>F311*E311</f>
        <v>24778.212422727265</v>
      </c>
      <c r="I311" s="340">
        <v>0</v>
      </c>
      <c r="J311" s="340">
        <f>SUM(H308:H311)</f>
        <v>4923643.1930738185</v>
      </c>
      <c r="K311" s="71">
        <f>SUM(G303:G311)</f>
        <v>33.283299999999997</v>
      </c>
      <c r="L311" s="163"/>
      <c r="M311" s="49"/>
      <c r="N311" s="86"/>
      <c r="O311" s="117"/>
      <c r="P311" s="97">
        <f>H311</f>
        <v>24778.212422727265</v>
      </c>
      <c r="Q311" s="105"/>
      <c r="R311" s="55"/>
      <c r="S311" s="185"/>
    </row>
    <row r="312" spans="2:19" s="5" customFormat="1">
      <c r="B312" s="294"/>
      <c r="C312" s="826"/>
      <c r="D312" s="119"/>
      <c r="E312" s="471"/>
      <c r="F312" s="341"/>
      <c r="G312" s="342"/>
      <c r="H312" s="343"/>
      <c r="I312" s="333"/>
      <c r="J312" s="333"/>
      <c r="K312" s="71"/>
      <c r="L312" s="163"/>
      <c r="M312" s="49"/>
      <c r="N312" s="103"/>
      <c r="O312" s="104"/>
      <c r="P312" s="104"/>
      <c r="Q312" s="105"/>
      <c r="R312" s="55"/>
      <c r="S312" s="185"/>
    </row>
    <row r="313" spans="2:19" s="5" customFormat="1" ht="15" customHeight="1">
      <c r="B313" s="398">
        <v>27</v>
      </c>
      <c r="C313" s="1006">
        <v>1</v>
      </c>
      <c r="D313" s="122" t="s">
        <v>64</v>
      </c>
      <c r="E313" s="467">
        <f>'SICA a Marzo2026'!E31</f>
        <v>892762.56</v>
      </c>
      <c r="F313" s="341"/>
      <c r="G313" s="344"/>
      <c r="H313" s="345"/>
      <c r="I313" s="346"/>
      <c r="J313" s="346"/>
      <c r="K313" s="71"/>
      <c r="L313" s="163"/>
      <c r="M313" s="16"/>
      <c r="N313" s="103"/>
      <c r="O313" s="104"/>
      <c r="P313" s="104"/>
      <c r="Q313" s="105"/>
      <c r="R313" s="22"/>
      <c r="S313" s="185"/>
    </row>
    <row r="314" spans="2:19" s="5" customFormat="1">
      <c r="B314" s="294"/>
      <c r="C314" s="826"/>
      <c r="D314" s="119" t="s">
        <v>263</v>
      </c>
      <c r="E314" s="467" t="s">
        <v>33</v>
      </c>
      <c r="F314" s="331">
        <f>E313</f>
        <v>892762.56</v>
      </c>
      <c r="G314" s="275">
        <f>F3</f>
        <v>7</v>
      </c>
      <c r="H314" s="275">
        <f>+G314*F314</f>
        <v>6249337.9199999999</v>
      </c>
      <c r="I314" s="333"/>
      <c r="J314" s="333"/>
      <c r="K314" s="71"/>
      <c r="L314" s="163"/>
      <c r="M314" s="49"/>
      <c r="N314" s="86">
        <f>H314</f>
        <v>6249337.9199999999</v>
      </c>
      <c r="O314" s="112"/>
      <c r="P314" s="86"/>
      <c r="Q314" s="87"/>
      <c r="R314" s="55"/>
      <c r="S314" s="185"/>
    </row>
    <row r="315" spans="2:19" s="5" customFormat="1">
      <c r="B315" s="294"/>
      <c r="C315" s="826"/>
      <c r="D315" s="119" t="s">
        <v>4</v>
      </c>
      <c r="E315" s="467" t="s">
        <v>33</v>
      </c>
      <c r="F315" s="331">
        <f>E313</f>
        <v>892762.56</v>
      </c>
      <c r="G315" s="275">
        <f>$F$4</f>
        <v>6</v>
      </c>
      <c r="H315" s="275">
        <f>+G315*F315</f>
        <v>5356575.3600000003</v>
      </c>
      <c r="I315" s="333"/>
      <c r="J315" s="333"/>
      <c r="K315" s="71"/>
      <c r="L315" s="163"/>
      <c r="M315" s="49"/>
      <c r="N315" s="86"/>
      <c r="O315" s="112">
        <f>H315</f>
        <v>5356575.3600000003</v>
      </c>
      <c r="P315" s="86"/>
      <c r="Q315" s="87"/>
      <c r="R315" s="55"/>
      <c r="S315" s="185"/>
    </row>
    <row r="316" spans="2:19" s="5" customFormat="1">
      <c r="B316" s="294"/>
      <c r="C316" s="826"/>
      <c r="D316" s="119" t="s">
        <v>34</v>
      </c>
      <c r="E316" s="468">
        <f>$H$5</f>
        <v>11.25</v>
      </c>
      <c r="F316" s="331">
        <f>E313/44*1.5</f>
        <v>30435.087272727273</v>
      </c>
      <c r="G316" s="334">
        <f>$F$4</f>
        <v>6</v>
      </c>
      <c r="H316" s="275">
        <f>+G316*F316*E316</f>
        <v>2054368.3909090906</v>
      </c>
      <c r="I316" s="333"/>
      <c r="J316" s="333"/>
      <c r="K316" s="71"/>
      <c r="L316" s="163"/>
      <c r="M316" s="49"/>
      <c r="N316" s="86"/>
      <c r="O316" s="112">
        <f>H316</f>
        <v>2054368.3909090906</v>
      </c>
      <c r="P316" s="86"/>
      <c r="Q316" s="87"/>
      <c r="R316" s="55"/>
      <c r="S316" s="185"/>
    </row>
    <row r="317" spans="2:19" s="5" customFormat="1">
      <c r="B317" s="294"/>
      <c r="C317" s="826"/>
      <c r="D317" s="119" t="s">
        <v>1</v>
      </c>
      <c r="E317" s="469" t="s">
        <v>65</v>
      </c>
      <c r="F317" s="331">
        <f>E313/5*1.5</f>
        <v>267828.76800000004</v>
      </c>
      <c r="G317" s="275">
        <f>$H$3</f>
        <v>0</v>
      </c>
      <c r="H317" s="275">
        <f>+G317*F317</f>
        <v>0</v>
      </c>
      <c r="I317" s="333"/>
      <c r="J317" s="333"/>
      <c r="K317" s="71"/>
      <c r="L317" s="163"/>
      <c r="M317" s="49"/>
      <c r="N317" s="86"/>
      <c r="O317" s="112">
        <f>H317</f>
        <v>0</v>
      </c>
      <c r="P317" s="86"/>
      <c r="Q317" s="87"/>
      <c r="R317" s="55"/>
      <c r="S317" s="185"/>
    </row>
    <row r="318" spans="2:19" s="5" customFormat="1">
      <c r="B318" s="294"/>
      <c r="C318" s="826"/>
      <c r="D318" s="119" t="s">
        <v>5</v>
      </c>
      <c r="E318" s="469" t="s">
        <v>65</v>
      </c>
      <c r="F318" s="331">
        <f>E313/5*2</f>
        <v>357105.02400000003</v>
      </c>
      <c r="G318" s="275">
        <f>$H$4</f>
        <v>0</v>
      </c>
      <c r="H318" s="275">
        <f>+G318*F318</f>
        <v>0</v>
      </c>
      <c r="I318" s="333"/>
      <c r="J318" s="333"/>
      <c r="K318" s="71"/>
      <c r="L318" s="163"/>
      <c r="M318" s="49"/>
      <c r="N318" s="86"/>
      <c r="O318" s="112">
        <f>H318</f>
        <v>0</v>
      </c>
      <c r="P318" s="86"/>
      <c r="Q318" s="87"/>
      <c r="R318" s="55"/>
      <c r="S318" s="185"/>
    </row>
    <row r="319" spans="2:19" s="5" customFormat="1">
      <c r="B319" s="294"/>
      <c r="C319" s="826"/>
      <c r="D319" s="119" t="s">
        <v>6</v>
      </c>
      <c r="E319" s="467" t="s">
        <v>33</v>
      </c>
      <c r="F319" s="331">
        <f>E313</f>
        <v>892762.56</v>
      </c>
      <c r="G319" s="275">
        <f>$F$5-$F$5</f>
        <v>0</v>
      </c>
      <c r="H319" s="275">
        <f>+G319*F319</f>
        <v>0</v>
      </c>
      <c r="I319" s="333"/>
      <c r="J319" s="333"/>
      <c r="K319" s="71"/>
      <c r="L319" s="163"/>
      <c r="M319" s="49"/>
      <c r="N319" s="86"/>
      <c r="O319" s="112"/>
      <c r="P319" s="86">
        <f>SUM(H319)</f>
        <v>0</v>
      </c>
      <c r="Q319" s="87"/>
      <c r="R319" s="55"/>
      <c r="S319" s="185"/>
    </row>
    <row r="320" spans="2:19" s="5" customFormat="1">
      <c r="B320" s="294"/>
      <c r="C320" s="826"/>
      <c r="D320" s="119" t="s">
        <v>36</v>
      </c>
      <c r="E320" s="469" t="s">
        <v>21</v>
      </c>
      <c r="F320" s="275">
        <f>G314+G315+G319</f>
        <v>13</v>
      </c>
      <c r="G320" s="336" t="s">
        <v>37</v>
      </c>
      <c r="H320" s="275">
        <f>SUM(H314:H319)</f>
        <v>13660281.670909092</v>
      </c>
      <c r="I320" s="332"/>
      <c r="J320" s="333"/>
      <c r="K320" s="71"/>
      <c r="L320" s="163"/>
      <c r="M320" s="49"/>
      <c r="N320" s="114"/>
      <c r="O320" s="115"/>
      <c r="P320" s="112"/>
      <c r="Q320" s="87"/>
      <c r="R320" s="55"/>
      <c r="S320" s="185"/>
    </row>
    <row r="321" spans="2:19" s="5" customFormat="1">
      <c r="B321" s="294"/>
      <c r="C321" s="826"/>
      <c r="D321" s="131" t="s">
        <v>38</v>
      </c>
      <c r="E321" s="469" t="s">
        <v>21</v>
      </c>
      <c r="F321" s="331">
        <f>SUM(H314:H319)</f>
        <v>13660281.670909092</v>
      </c>
      <c r="G321" s="337">
        <f>$G$21</f>
        <v>8.3299999999999999E-2</v>
      </c>
      <c r="H321" s="275">
        <f>+G321*F321</f>
        <v>1137901.4631867274</v>
      </c>
      <c r="I321" s="338"/>
      <c r="J321" s="338"/>
      <c r="K321" s="71"/>
      <c r="L321" s="163"/>
      <c r="M321" s="49"/>
      <c r="N321" s="86"/>
      <c r="O321" s="117"/>
      <c r="P321" s="97">
        <f>H321</f>
        <v>1137901.4631867274</v>
      </c>
      <c r="Q321" s="105"/>
      <c r="R321" s="55"/>
      <c r="S321" s="185"/>
    </row>
    <row r="322" spans="2:19" s="5" customFormat="1">
      <c r="B322" s="294"/>
      <c r="C322" s="826"/>
      <c r="D322" s="131" t="s">
        <v>39</v>
      </c>
      <c r="E322" s="470">
        <f>F321/(5*F320)</f>
        <v>210158.17955244757</v>
      </c>
      <c r="F322" s="331">
        <f>E322*(F320*7)</f>
        <v>19124394.33927273</v>
      </c>
      <c r="G322" s="339">
        <f>$G$22</f>
        <v>20</v>
      </c>
      <c r="H322" s="275">
        <f>F322/G322</f>
        <v>956219.71696363646</v>
      </c>
      <c r="I322" s="340">
        <v>0</v>
      </c>
      <c r="J322" s="340"/>
      <c r="K322" s="71">
        <f>SUM(G314:G322)</f>
        <v>39.083300000000001</v>
      </c>
      <c r="L322" s="163"/>
      <c r="M322" s="49"/>
      <c r="N322" s="86"/>
      <c r="O322" s="117"/>
      <c r="P322" s="97">
        <f>H322</f>
        <v>956219.71696363646</v>
      </c>
      <c r="Q322" s="105"/>
      <c r="R322" s="55"/>
      <c r="S322" s="185"/>
    </row>
    <row r="323" spans="2:19" s="5" customFormat="1">
      <c r="B323" s="297"/>
      <c r="C323" s="826"/>
      <c r="D323" s="131" t="s">
        <v>354</v>
      </c>
      <c r="E323" s="470">
        <v>8.3333333333333329E-2</v>
      </c>
      <c r="F323" s="331">
        <f>H322</f>
        <v>956219.71696363646</v>
      </c>
      <c r="G323" s="439">
        <v>1</v>
      </c>
      <c r="H323" s="275">
        <f>F323*E323</f>
        <v>79684.976413636366</v>
      </c>
      <c r="I323" s="340">
        <v>0</v>
      </c>
      <c r="J323" s="340">
        <f>SUM(H320:H323)</f>
        <v>15834087.827473091</v>
      </c>
      <c r="K323" s="71">
        <f>SUM(G315:G323)</f>
        <v>33.083300000000001</v>
      </c>
      <c r="L323" s="163"/>
      <c r="M323" s="49"/>
      <c r="N323" s="86"/>
      <c r="O323" s="117"/>
      <c r="P323" s="97">
        <f>H323</f>
        <v>79684.976413636366</v>
      </c>
      <c r="Q323" s="105"/>
      <c r="R323" s="55"/>
      <c r="S323" s="185"/>
    </row>
    <row r="324" spans="2:19" s="5" customFormat="1">
      <c r="B324" s="294"/>
      <c r="C324" s="826"/>
      <c r="D324" s="119"/>
      <c r="E324" s="471"/>
      <c r="F324" s="341"/>
      <c r="G324" s="342"/>
      <c r="H324" s="343"/>
      <c r="I324" s="333"/>
      <c r="J324" s="333"/>
      <c r="K324" s="71"/>
      <c r="L324" s="163"/>
      <c r="M324" s="49"/>
      <c r="N324" s="103"/>
      <c r="O324" s="104"/>
      <c r="P324" s="104"/>
      <c r="Q324" s="105"/>
      <c r="R324" s="55"/>
      <c r="S324" s="185"/>
    </row>
    <row r="325" spans="2:19" s="5" customFormat="1" ht="15" customHeight="1">
      <c r="B325" s="398">
        <v>28</v>
      </c>
      <c r="C325" s="1006">
        <v>1</v>
      </c>
      <c r="D325" s="122" t="s">
        <v>66</v>
      </c>
      <c r="E325" s="467">
        <f>'SICA a Marzo2026'!E32</f>
        <v>761947.56</v>
      </c>
      <c r="F325" s="341"/>
      <c r="G325" s="344"/>
      <c r="H325" s="345"/>
      <c r="I325" s="346"/>
      <c r="J325" s="346"/>
      <c r="K325" s="71"/>
      <c r="L325" s="163"/>
      <c r="M325" s="16"/>
      <c r="N325" s="103"/>
      <c r="O325" s="104"/>
      <c r="P325" s="104"/>
      <c r="Q325" s="105"/>
      <c r="R325" s="22"/>
      <c r="S325" s="185"/>
    </row>
    <row r="326" spans="2:19" s="5" customFormat="1">
      <c r="B326" s="294"/>
      <c r="C326" s="826"/>
      <c r="D326" s="119" t="s">
        <v>0</v>
      </c>
      <c r="E326" s="467" t="s">
        <v>33</v>
      </c>
      <c r="F326" s="331">
        <f>E325</f>
        <v>761947.56</v>
      </c>
      <c r="G326" s="275">
        <f>F3</f>
        <v>7</v>
      </c>
      <c r="H326" s="275">
        <f>+G326*F326</f>
        <v>5333632.92</v>
      </c>
      <c r="I326" s="333"/>
      <c r="J326" s="333"/>
      <c r="K326" s="71"/>
      <c r="L326" s="163"/>
      <c r="M326" s="49"/>
      <c r="N326" s="86">
        <f>H326</f>
        <v>5333632.92</v>
      </c>
      <c r="O326" s="112"/>
      <c r="P326" s="86"/>
      <c r="Q326" s="87"/>
      <c r="R326" s="55"/>
      <c r="S326" s="185"/>
    </row>
    <row r="327" spans="2:19" s="5" customFormat="1">
      <c r="B327" s="294"/>
      <c r="C327" s="826"/>
      <c r="D327" s="119" t="s">
        <v>4</v>
      </c>
      <c r="E327" s="467" t="s">
        <v>33</v>
      </c>
      <c r="F327" s="331">
        <f>E325</f>
        <v>761947.56</v>
      </c>
      <c r="G327" s="275">
        <f>$F$4</f>
        <v>6</v>
      </c>
      <c r="H327" s="275">
        <f>+G327*F327</f>
        <v>4571685.3600000003</v>
      </c>
      <c r="I327" s="333"/>
      <c r="J327" s="333"/>
      <c r="K327" s="71"/>
      <c r="L327" s="163"/>
      <c r="M327" s="49"/>
      <c r="N327" s="86"/>
      <c r="O327" s="112">
        <f>H327</f>
        <v>4571685.3600000003</v>
      </c>
      <c r="P327" s="86"/>
      <c r="Q327" s="87"/>
      <c r="R327" s="55"/>
      <c r="S327" s="185"/>
    </row>
    <row r="328" spans="2:19" s="5" customFormat="1">
      <c r="B328" s="294"/>
      <c r="C328" s="826"/>
      <c r="D328" s="119" t="s">
        <v>34</v>
      </c>
      <c r="E328" s="468">
        <f>$H$5</f>
        <v>11.25</v>
      </c>
      <c r="F328" s="331">
        <f>E325/44*1.5</f>
        <v>25975.485000000001</v>
      </c>
      <c r="G328" s="334">
        <f>$F$4</f>
        <v>6</v>
      </c>
      <c r="H328" s="275">
        <f>+G328*F328*E328</f>
        <v>1753345.2375</v>
      </c>
      <c r="I328" s="333"/>
      <c r="J328" s="333"/>
      <c r="K328" s="71"/>
      <c r="L328" s="163"/>
      <c r="M328" s="49"/>
      <c r="N328" s="86"/>
      <c r="O328" s="112">
        <f>H328</f>
        <v>1753345.2375</v>
      </c>
      <c r="P328" s="86"/>
      <c r="Q328" s="87"/>
      <c r="R328" s="55"/>
      <c r="S328" s="185"/>
    </row>
    <row r="329" spans="2:19" s="5" customFormat="1">
      <c r="B329" s="294"/>
      <c r="C329" s="826"/>
      <c r="D329" s="119" t="s">
        <v>1</v>
      </c>
      <c r="E329" s="469" t="s">
        <v>35</v>
      </c>
      <c r="F329" s="331">
        <f>E325/5*1.5</f>
        <v>228584.26800000004</v>
      </c>
      <c r="G329" s="275">
        <f>$H$3</f>
        <v>0</v>
      </c>
      <c r="H329" s="275">
        <f>+G329*F329</f>
        <v>0</v>
      </c>
      <c r="I329" s="333"/>
      <c r="J329" s="333"/>
      <c r="K329" s="71"/>
      <c r="L329" s="163"/>
      <c r="M329" s="49"/>
      <c r="N329" s="86"/>
      <c r="O329" s="112">
        <f>H329</f>
        <v>0</v>
      </c>
      <c r="P329" s="86"/>
      <c r="Q329" s="87"/>
      <c r="R329" s="55"/>
      <c r="S329" s="185"/>
    </row>
    <row r="330" spans="2:19" s="5" customFormat="1">
      <c r="B330" s="294"/>
      <c r="C330" s="826"/>
      <c r="D330" s="119" t="s">
        <v>5</v>
      </c>
      <c r="E330" s="469" t="s">
        <v>35</v>
      </c>
      <c r="F330" s="331">
        <f>E325/5*2</f>
        <v>304779.02400000003</v>
      </c>
      <c r="G330" s="275">
        <f>$H$4</f>
        <v>0</v>
      </c>
      <c r="H330" s="275">
        <f>+G330*F330</f>
        <v>0</v>
      </c>
      <c r="I330" s="333"/>
      <c r="J330" s="333"/>
      <c r="K330" s="71"/>
      <c r="L330" s="163"/>
      <c r="M330" s="49"/>
      <c r="N330" s="86"/>
      <c r="O330" s="112">
        <f>H330</f>
        <v>0</v>
      </c>
      <c r="P330" s="86"/>
      <c r="Q330" s="87"/>
      <c r="R330" s="55"/>
      <c r="S330" s="185"/>
    </row>
    <row r="331" spans="2:19" s="5" customFormat="1">
      <c r="B331" s="294"/>
      <c r="C331" s="826"/>
      <c r="D331" s="119" t="s">
        <v>6</v>
      </c>
      <c r="E331" s="467" t="s">
        <v>33</v>
      </c>
      <c r="F331" s="331">
        <f>E325</f>
        <v>761947.56</v>
      </c>
      <c r="G331" s="275">
        <f>0.6</f>
        <v>0.6</v>
      </c>
      <c r="H331" s="275">
        <f>+G331*F331</f>
        <v>457168.53600000002</v>
      </c>
      <c r="I331" s="333"/>
      <c r="J331" s="333"/>
      <c r="K331" s="71"/>
      <c r="L331" s="163"/>
      <c r="M331" s="49"/>
      <c r="N331" s="86"/>
      <c r="O331" s="112"/>
      <c r="P331" s="86">
        <f>SUM(H331)</f>
        <v>457168.53600000002</v>
      </c>
      <c r="Q331" s="87"/>
      <c r="R331" s="55"/>
      <c r="S331" s="185"/>
    </row>
    <row r="332" spans="2:19" s="5" customFormat="1">
      <c r="B332" s="294"/>
      <c r="C332" s="826"/>
      <c r="D332" s="119" t="s">
        <v>36</v>
      </c>
      <c r="E332" s="469" t="s">
        <v>21</v>
      </c>
      <c r="F332" s="275">
        <f>G326+G327+G331</f>
        <v>13.6</v>
      </c>
      <c r="G332" s="336" t="s">
        <v>37</v>
      </c>
      <c r="H332" s="275">
        <f>SUM(H326:H331)</f>
        <v>12115832.053500002</v>
      </c>
      <c r="I332" s="332"/>
      <c r="J332" s="333"/>
      <c r="K332" s="71"/>
      <c r="L332" s="163"/>
      <c r="M332" s="49"/>
      <c r="N332" s="114"/>
      <c r="O332" s="115"/>
      <c r="P332" s="112"/>
      <c r="Q332" s="87"/>
      <c r="R332" s="55"/>
      <c r="S332" s="185"/>
    </row>
    <row r="333" spans="2:19" s="5" customFormat="1">
      <c r="B333" s="294"/>
      <c r="C333" s="826"/>
      <c r="D333" s="131" t="s">
        <v>38</v>
      </c>
      <c r="E333" s="469" t="s">
        <v>21</v>
      </c>
      <c r="F333" s="331">
        <f>SUM(H326:H331)</f>
        <v>12115832.053500002</v>
      </c>
      <c r="G333" s="337">
        <f>$G$21</f>
        <v>8.3299999999999999E-2</v>
      </c>
      <c r="H333" s="275">
        <f>+G333*F333</f>
        <v>1009248.8100565502</v>
      </c>
      <c r="I333" s="338"/>
      <c r="J333" s="338"/>
      <c r="K333" s="71"/>
      <c r="L333" s="163"/>
      <c r="M333" s="49"/>
      <c r="N333" s="86"/>
      <c r="O333" s="117"/>
      <c r="P333" s="97">
        <f>H333</f>
        <v>1009248.8100565502</v>
      </c>
      <c r="Q333" s="105"/>
      <c r="R333" s="55"/>
      <c r="S333" s="185"/>
    </row>
    <row r="334" spans="2:19" s="5" customFormat="1">
      <c r="B334" s="294"/>
      <c r="C334" s="826"/>
      <c r="D334" s="131" t="s">
        <v>39</v>
      </c>
      <c r="E334" s="470">
        <f>F333/(5*F332)</f>
        <v>178174.00078676475</v>
      </c>
      <c r="F334" s="331">
        <f>E334*(F332*7)</f>
        <v>16962164.874900006</v>
      </c>
      <c r="G334" s="339">
        <f>$G$22</f>
        <v>20</v>
      </c>
      <c r="H334" s="275">
        <f>F334/G334</f>
        <v>848108.24374500033</v>
      </c>
      <c r="I334" s="340">
        <v>0</v>
      </c>
      <c r="J334" s="340"/>
      <c r="K334" s="71">
        <f>SUM(G326:G334)</f>
        <v>39.683300000000003</v>
      </c>
      <c r="L334" s="163"/>
      <c r="M334" s="49"/>
      <c r="N334" s="86"/>
      <c r="O334" s="117"/>
      <c r="P334" s="97">
        <f>H334</f>
        <v>848108.24374500033</v>
      </c>
      <c r="Q334" s="105"/>
      <c r="R334" s="55"/>
      <c r="S334" s="185"/>
    </row>
    <row r="335" spans="2:19" s="5" customFormat="1">
      <c r="B335" s="297"/>
      <c r="C335" s="826"/>
      <c r="D335" s="131" t="s">
        <v>354</v>
      </c>
      <c r="E335" s="470">
        <v>8.3333333333333329E-2</v>
      </c>
      <c r="F335" s="331">
        <f>H334</f>
        <v>848108.24374500033</v>
      </c>
      <c r="G335" s="439">
        <v>1</v>
      </c>
      <c r="H335" s="275">
        <f>F335*E335</f>
        <v>70675.686978750018</v>
      </c>
      <c r="I335" s="340">
        <v>0</v>
      </c>
      <c r="J335" s="340">
        <f>SUM(H332:H335)</f>
        <v>14043864.794280304</v>
      </c>
      <c r="K335" s="71">
        <f>SUM(G327:G335)</f>
        <v>33.683300000000003</v>
      </c>
      <c r="L335" s="163"/>
      <c r="M335" s="49"/>
      <c r="N335" s="86"/>
      <c r="O335" s="117"/>
      <c r="P335" s="97">
        <f>H335</f>
        <v>70675.686978750018</v>
      </c>
      <c r="Q335" s="105"/>
      <c r="R335" s="55"/>
      <c r="S335" s="185"/>
    </row>
    <row r="336" spans="2:19" s="5" customFormat="1">
      <c r="B336" s="294"/>
      <c r="C336" s="826"/>
      <c r="D336" s="119"/>
      <c r="E336" s="471"/>
      <c r="F336" s="341"/>
      <c r="G336" s="342"/>
      <c r="H336" s="343"/>
      <c r="I336" s="333"/>
      <c r="J336" s="333"/>
      <c r="K336" s="71"/>
      <c r="L336" s="163"/>
      <c r="M336" s="49"/>
      <c r="N336" s="103"/>
      <c r="O336" s="104"/>
      <c r="P336" s="104"/>
      <c r="Q336" s="105"/>
      <c r="R336" s="55"/>
      <c r="S336" s="185"/>
    </row>
    <row r="337" spans="2:19" s="5" customFormat="1" ht="15" customHeight="1">
      <c r="B337" s="398">
        <v>29</v>
      </c>
      <c r="C337" s="1006">
        <v>1</v>
      </c>
      <c r="D337" s="122" t="s">
        <v>67</v>
      </c>
      <c r="E337" s="467">
        <f>'SICA a Marzo2026'!E33</f>
        <v>604155.24</v>
      </c>
      <c r="F337" s="341"/>
      <c r="G337" s="344"/>
      <c r="H337" s="345"/>
      <c r="I337" s="346"/>
      <c r="J337" s="346"/>
      <c r="K337" s="71"/>
      <c r="L337" s="163"/>
      <c r="M337" s="16"/>
      <c r="N337" s="103"/>
      <c r="O337" s="104"/>
      <c r="P337" s="104"/>
      <c r="Q337" s="105"/>
      <c r="R337" s="22"/>
      <c r="S337" s="185"/>
    </row>
    <row r="338" spans="2:19" s="5" customFormat="1">
      <c r="B338" s="294"/>
      <c r="C338" s="826"/>
      <c r="D338" s="119" t="s">
        <v>0</v>
      </c>
      <c r="E338" s="467" t="s">
        <v>33</v>
      </c>
      <c r="F338" s="331">
        <f>E337</f>
        <v>604155.24</v>
      </c>
      <c r="G338" s="275">
        <v>6</v>
      </c>
      <c r="H338" s="275">
        <f>+G338*F338</f>
        <v>3624931.44</v>
      </c>
      <c r="I338" s="333"/>
      <c r="J338" s="333"/>
      <c r="K338" s="71"/>
      <c r="L338" s="163"/>
      <c r="M338" s="49"/>
      <c r="N338" s="86">
        <f>H338</f>
        <v>3624931.44</v>
      </c>
      <c r="O338" s="112"/>
      <c r="P338" s="86"/>
      <c r="Q338" s="87"/>
      <c r="R338" s="55"/>
      <c r="S338" s="185"/>
    </row>
    <row r="339" spans="2:19" s="5" customFormat="1">
      <c r="B339" s="294"/>
      <c r="C339" s="826"/>
      <c r="D339" s="119" t="s">
        <v>4</v>
      </c>
      <c r="E339" s="467" t="s">
        <v>33</v>
      </c>
      <c r="F339" s="331">
        <f>E337</f>
        <v>604155.24</v>
      </c>
      <c r="G339" s="275">
        <f>$F$4</f>
        <v>6</v>
      </c>
      <c r="H339" s="275">
        <f>+G339*F339</f>
        <v>3624931.44</v>
      </c>
      <c r="I339" s="333"/>
      <c r="J339" s="333"/>
      <c r="K339" s="71"/>
      <c r="L339" s="163"/>
      <c r="M339" s="49"/>
      <c r="N339" s="86"/>
      <c r="O339" s="112">
        <f>H339</f>
        <v>3624931.44</v>
      </c>
      <c r="P339" s="86"/>
      <c r="Q339" s="87"/>
      <c r="R339" s="55"/>
      <c r="S339" s="185"/>
    </row>
    <row r="340" spans="2:19" s="5" customFormat="1">
      <c r="B340" s="294"/>
      <c r="C340" s="826"/>
      <c r="D340" s="119" t="s">
        <v>34</v>
      </c>
      <c r="E340" s="468">
        <f>$H$5</f>
        <v>11.25</v>
      </c>
      <c r="F340" s="331">
        <f>E337/44*1.5</f>
        <v>20596.201363636363</v>
      </c>
      <c r="G340" s="334">
        <f>$F$4</f>
        <v>6</v>
      </c>
      <c r="H340" s="275">
        <f>+G340*F340*E340</f>
        <v>1390243.5920454545</v>
      </c>
      <c r="I340" s="333"/>
      <c r="J340" s="333"/>
      <c r="K340" s="71"/>
      <c r="L340" s="163"/>
      <c r="M340" s="49"/>
      <c r="N340" s="86"/>
      <c r="O340" s="112">
        <f>H340</f>
        <v>1390243.5920454545</v>
      </c>
      <c r="P340" s="86"/>
      <c r="Q340" s="87"/>
      <c r="R340" s="55"/>
      <c r="S340" s="185"/>
    </row>
    <row r="341" spans="2:19" s="5" customFormat="1">
      <c r="B341" s="294"/>
      <c r="C341" s="826"/>
      <c r="D341" s="119" t="s">
        <v>1</v>
      </c>
      <c r="E341" s="469" t="s">
        <v>35</v>
      </c>
      <c r="F341" s="331">
        <f>E337/5*1.5</f>
        <v>181246.57199999999</v>
      </c>
      <c r="G341" s="275">
        <f>$H$3</f>
        <v>0</v>
      </c>
      <c r="H341" s="275">
        <f>+G341*F341</f>
        <v>0</v>
      </c>
      <c r="I341" s="333"/>
      <c r="J341" s="333"/>
      <c r="K341" s="71"/>
      <c r="L341" s="163"/>
      <c r="M341" s="49"/>
      <c r="N341" s="86"/>
      <c r="O341" s="112">
        <f>H341</f>
        <v>0</v>
      </c>
      <c r="P341" s="86"/>
      <c r="Q341" s="87"/>
      <c r="R341" s="55"/>
      <c r="S341" s="185"/>
    </row>
    <row r="342" spans="2:19" s="5" customFormat="1">
      <c r="B342" s="294"/>
      <c r="C342" s="826"/>
      <c r="D342" s="119" t="s">
        <v>5</v>
      </c>
      <c r="E342" s="469" t="s">
        <v>35</v>
      </c>
      <c r="F342" s="331">
        <f>E337/5*2</f>
        <v>241662.09599999999</v>
      </c>
      <c r="G342" s="275">
        <f>$H$4</f>
        <v>0</v>
      </c>
      <c r="H342" s="275">
        <f>+G342*F342</f>
        <v>0</v>
      </c>
      <c r="I342" s="333"/>
      <c r="J342" s="333"/>
      <c r="K342" s="71"/>
      <c r="L342" s="163"/>
      <c r="M342" s="49"/>
      <c r="N342" s="86"/>
      <c r="O342" s="112">
        <f>H342</f>
        <v>0</v>
      </c>
      <c r="P342" s="86"/>
      <c r="Q342" s="87"/>
      <c r="R342" s="55"/>
      <c r="S342" s="185"/>
    </row>
    <row r="343" spans="2:19" s="5" customFormat="1">
      <c r="B343" s="294"/>
      <c r="C343" s="826"/>
      <c r="D343" s="119" t="s">
        <v>6</v>
      </c>
      <c r="E343" s="467" t="s">
        <v>33</v>
      </c>
      <c r="F343" s="331">
        <f>E337</f>
        <v>604155.24</v>
      </c>
      <c r="G343" s="276">
        <v>0.6</v>
      </c>
      <c r="H343" s="275">
        <f>+G343*F343</f>
        <v>362493.14399999997</v>
      </c>
      <c r="I343" s="333"/>
      <c r="J343" s="333"/>
      <c r="K343" s="71"/>
      <c r="L343" s="163"/>
      <c r="M343" s="49"/>
      <c r="N343" s="86"/>
      <c r="O343" s="112"/>
      <c r="P343" s="86">
        <f>SUM(H343)</f>
        <v>362493.14399999997</v>
      </c>
      <c r="Q343" s="87"/>
      <c r="R343" s="55"/>
      <c r="S343" s="185"/>
    </row>
    <row r="344" spans="2:19" s="5" customFormat="1">
      <c r="B344" s="294"/>
      <c r="C344" s="826"/>
      <c r="D344" s="119" t="s">
        <v>36</v>
      </c>
      <c r="E344" s="469" t="s">
        <v>21</v>
      </c>
      <c r="F344" s="275">
        <f>G338+G339+G343</f>
        <v>12.6</v>
      </c>
      <c r="G344" s="336" t="s">
        <v>37</v>
      </c>
      <c r="H344" s="275">
        <f>SUM(H338:H343)</f>
        <v>9002599.6160454545</v>
      </c>
      <c r="I344" s="332"/>
      <c r="J344" s="333"/>
      <c r="K344" s="71"/>
      <c r="L344" s="163"/>
      <c r="M344" s="49"/>
      <c r="N344" s="114"/>
      <c r="O344" s="115"/>
      <c r="P344" s="112"/>
      <c r="Q344" s="87"/>
      <c r="R344" s="55"/>
      <c r="S344" s="185"/>
    </row>
    <row r="345" spans="2:19" s="5" customFormat="1">
      <c r="B345" s="294"/>
      <c r="C345" s="826"/>
      <c r="D345" s="131" t="s">
        <v>38</v>
      </c>
      <c r="E345" s="469" t="s">
        <v>21</v>
      </c>
      <c r="F345" s="331">
        <f>SUM(H338:H343)</f>
        <v>9002599.6160454545</v>
      </c>
      <c r="G345" s="337">
        <f>$G$21</f>
        <v>8.3299999999999999E-2</v>
      </c>
      <c r="H345" s="275">
        <f>+G345*F345</f>
        <v>749916.54801658634</v>
      </c>
      <c r="I345" s="338"/>
      <c r="J345" s="338"/>
      <c r="K345" s="71"/>
      <c r="L345" s="163"/>
      <c r="M345" s="49"/>
      <c r="N345" s="86"/>
      <c r="O345" s="117"/>
      <c r="P345" s="97">
        <f>H345</f>
        <v>749916.54801658634</v>
      </c>
      <c r="Q345" s="105"/>
      <c r="R345" s="55"/>
      <c r="S345" s="185"/>
    </row>
    <row r="346" spans="2:19" s="5" customFormat="1">
      <c r="B346" s="294"/>
      <c r="C346" s="826"/>
      <c r="D346" s="131" t="s">
        <v>39</v>
      </c>
      <c r="E346" s="470">
        <f>F345/(5*F344)</f>
        <v>142898.40660389612</v>
      </c>
      <c r="F346" s="331">
        <f>E346*(F344*7)</f>
        <v>12603639.462463638</v>
      </c>
      <c r="G346" s="339">
        <f>$G$22</f>
        <v>20</v>
      </c>
      <c r="H346" s="275">
        <f>F346/G346</f>
        <v>630181.97312318184</v>
      </c>
      <c r="I346" s="340">
        <v>0</v>
      </c>
      <c r="J346" s="340"/>
      <c r="K346" s="71"/>
      <c r="L346" s="163"/>
      <c r="M346" s="49"/>
      <c r="N346" s="86"/>
      <c r="O346" s="117"/>
      <c r="P346" s="97">
        <f>H346</f>
        <v>630181.97312318184</v>
      </c>
      <c r="Q346" s="105"/>
      <c r="R346" s="55"/>
      <c r="S346" s="185"/>
    </row>
    <row r="347" spans="2:19" s="5" customFormat="1">
      <c r="B347" s="297"/>
      <c r="C347" s="826"/>
      <c r="D347" s="131" t="s">
        <v>354</v>
      </c>
      <c r="E347" s="470">
        <v>8.3333333333333329E-2</v>
      </c>
      <c r="F347" s="331">
        <f>H346</f>
        <v>630181.97312318184</v>
      </c>
      <c r="G347" s="439">
        <v>1</v>
      </c>
      <c r="H347" s="275">
        <f>F347*E347</f>
        <v>52515.16442693182</v>
      </c>
      <c r="I347" s="340">
        <v>0</v>
      </c>
      <c r="J347" s="340">
        <f>SUM(H344:H347)</f>
        <v>10435213.301612156</v>
      </c>
      <c r="K347" s="71">
        <f>SUM(G339:G347)</f>
        <v>33.683300000000003</v>
      </c>
      <c r="L347" s="163"/>
      <c r="M347" s="49"/>
      <c r="N347" s="86"/>
      <c r="O347" s="117"/>
      <c r="P347" s="97">
        <f>H347</f>
        <v>52515.16442693182</v>
      </c>
      <c r="Q347" s="105"/>
      <c r="R347" s="55"/>
      <c r="S347" s="185"/>
    </row>
    <row r="348" spans="2:19" s="5" customFormat="1">
      <c r="B348" s="294"/>
      <c r="C348" s="826"/>
      <c r="D348" s="119"/>
      <c r="E348" s="471"/>
      <c r="F348" s="341"/>
      <c r="G348" s="342"/>
      <c r="H348" s="343"/>
      <c r="I348" s="333"/>
      <c r="J348" s="333"/>
      <c r="K348" s="71">
        <f>SUM(G339:G348)</f>
        <v>33.683300000000003</v>
      </c>
      <c r="L348" s="163"/>
      <c r="M348" s="49"/>
      <c r="N348" s="103"/>
      <c r="O348" s="104"/>
      <c r="P348" s="104"/>
      <c r="Q348" s="105"/>
      <c r="R348" s="55"/>
      <c r="S348" s="185"/>
    </row>
    <row r="349" spans="2:19" s="5" customFormat="1" ht="15" customHeight="1">
      <c r="B349" s="398">
        <v>30</v>
      </c>
      <c r="C349" s="1006">
        <v>2</v>
      </c>
      <c r="D349" s="182" t="s">
        <v>317</v>
      </c>
      <c r="E349" s="348">
        <f>'SICA a Marzo2026'!E34</f>
        <v>551815.19999999995</v>
      </c>
      <c r="F349" s="111">
        <f>E349*C349</f>
        <v>1103630.3999999999</v>
      </c>
      <c r="G349" s="344"/>
      <c r="H349" s="345"/>
      <c r="I349" s="346"/>
      <c r="J349" s="346"/>
      <c r="K349" s="71"/>
      <c r="L349" s="199"/>
      <c r="M349" s="16"/>
      <c r="N349" s="103"/>
      <c r="O349" s="104"/>
      <c r="P349" s="104"/>
      <c r="Q349" s="105"/>
      <c r="R349" s="22"/>
      <c r="S349" s="185"/>
    </row>
    <row r="350" spans="2:19" s="5" customFormat="1">
      <c r="B350" s="294"/>
      <c r="C350" s="826"/>
      <c r="D350" s="119" t="s">
        <v>0</v>
      </c>
      <c r="E350" s="475" t="s">
        <v>33</v>
      </c>
      <c r="F350" s="331">
        <f>F349</f>
        <v>1103630.3999999999</v>
      </c>
      <c r="G350" s="275">
        <v>6</v>
      </c>
      <c r="H350" s="275">
        <f>+G350*F350</f>
        <v>6621782.3999999994</v>
      </c>
      <c r="I350" s="333"/>
      <c r="J350" s="333"/>
      <c r="K350" s="71"/>
      <c r="L350" s="199"/>
      <c r="M350" s="49"/>
      <c r="N350" s="86">
        <f>H350</f>
        <v>6621782.3999999994</v>
      </c>
      <c r="O350" s="112"/>
      <c r="P350" s="86"/>
      <c r="Q350" s="87"/>
      <c r="R350" s="55"/>
      <c r="S350" s="185"/>
    </row>
    <row r="351" spans="2:19" s="5" customFormat="1">
      <c r="B351" s="294"/>
      <c r="C351" s="826"/>
      <c r="D351" s="119" t="s">
        <v>4</v>
      </c>
      <c r="E351" s="467" t="s">
        <v>33</v>
      </c>
      <c r="F351" s="331">
        <f>F349</f>
        <v>1103630.3999999999</v>
      </c>
      <c r="G351" s="275">
        <f>$F$4</f>
        <v>6</v>
      </c>
      <c r="H351" s="275">
        <f>+G351*F351</f>
        <v>6621782.3999999994</v>
      </c>
      <c r="I351" s="333"/>
      <c r="J351" s="333"/>
      <c r="K351" s="71"/>
      <c r="L351" s="199"/>
      <c r="M351" s="49"/>
      <c r="N351" s="86"/>
      <c r="O351" s="112">
        <f>H351</f>
        <v>6621782.3999999994</v>
      </c>
      <c r="P351" s="86"/>
      <c r="Q351" s="87"/>
      <c r="R351" s="55"/>
      <c r="S351" s="185"/>
    </row>
    <row r="352" spans="2:19" s="5" customFormat="1">
      <c r="B352" s="294"/>
      <c r="C352" s="826"/>
      <c r="D352" s="119" t="s">
        <v>34</v>
      </c>
      <c r="E352" s="468">
        <f>$H$5</f>
        <v>11.25</v>
      </c>
      <c r="F352" s="331">
        <f>F349/44*1.5</f>
        <v>37623.763636363634</v>
      </c>
      <c r="G352" s="334">
        <f>$F$4</f>
        <v>6</v>
      </c>
      <c r="H352" s="275">
        <f>+G352*F352*E352</f>
        <v>2539604.0454545449</v>
      </c>
      <c r="I352" s="333"/>
      <c r="J352" s="333"/>
      <c r="K352" s="71"/>
      <c r="L352" s="199"/>
      <c r="M352" s="49"/>
      <c r="N352" s="86"/>
      <c r="O352" s="112">
        <f>H352</f>
        <v>2539604.0454545449</v>
      </c>
      <c r="P352" s="86"/>
      <c r="Q352" s="87"/>
      <c r="R352" s="55"/>
      <c r="S352" s="185"/>
    </row>
    <row r="353" spans="2:19" s="5" customFormat="1">
      <c r="B353" s="294"/>
      <c r="C353" s="826"/>
      <c r="D353" s="119" t="s">
        <v>1</v>
      </c>
      <c r="E353" s="469" t="s">
        <v>35</v>
      </c>
      <c r="F353" s="331">
        <f>F349/5*1.5</f>
        <v>331089.12</v>
      </c>
      <c r="G353" s="275">
        <f>$H$3</f>
        <v>0</v>
      </c>
      <c r="H353" s="275">
        <f>+G353*F353</f>
        <v>0</v>
      </c>
      <c r="I353" s="333"/>
      <c r="J353" s="333"/>
      <c r="K353" s="71"/>
      <c r="L353" s="199"/>
      <c r="M353" s="49"/>
      <c r="N353" s="86"/>
      <c r="O353" s="112">
        <f>H353</f>
        <v>0</v>
      </c>
      <c r="P353" s="86"/>
      <c r="Q353" s="87"/>
      <c r="R353" s="55"/>
      <c r="S353" s="185"/>
    </row>
    <row r="354" spans="2:19" s="5" customFormat="1">
      <c r="B354" s="294"/>
      <c r="C354" s="826"/>
      <c r="D354" s="119" t="s">
        <v>5</v>
      </c>
      <c r="E354" s="469" t="s">
        <v>35</v>
      </c>
      <c r="F354" s="331">
        <f>F349/5*1.5</f>
        <v>331089.12</v>
      </c>
      <c r="G354" s="275">
        <f>$H$4</f>
        <v>0</v>
      </c>
      <c r="H354" s="275">
        <f>+G354*F354</f>
        <v>0</v>
      </c>
      <c r="I354" s="333"/>
      <c r="J354" s="333"/>
      <c r="K354" s="71"/>
      <c r="L354" s="199"/>
      <c r="M354" s="49"/>
      <c r="N354" s="86"/>
      <c r="O354" s="112">
        <f>H354</f>
        <v>0</v>
      </c>
      <c r="P354" s="86"/>
      <c r="Q354" s="87"/>
      <c r="R354" s="55"/>
      <c r="S354" s="185"/>
    </row>
    <row r="355" spans="2:19" s="5" customFormat="1">
      <c r="B355" s="294"/>
      <c r="C355" s="826"/>
      <c r="D355" s="119" t="s">
        <v>6</v>
      </c>
      <c r="E355" s="467" t="s">
        <v>33</v>
      </c>
      <c r="F355" s="331">
        <f>F349</f>
        <v>1103630.3999999999</v>
      </c>
      <c r="G355" s="276">
        <v>0.6</v>
      </c>
      <c r="H355" s="275">
        <f>+G355*F355</f>
        <v>662178.23999999987</v>
      </c>
      <c r="I355" s="333"/>
      <c r="J355" s="333"/>
      <c r="K355" s="71"/>
      <c r="L355" s="199"/>
      <c r="M355" s="49"/>
      <c r="N355" s="86"/>
      <c r="O355" s="112"/>
      <c r="P355" s="86">
        <f>SUM(H355)</f>
        <v>662178.23999999987</v>
      </c>
      <c r="Q355" s="87"/>
      <c r="R355" s="55"/>
      <c r="S355" s="185"/>
    </row>
    <row r="356" spans="2:19" s="5" customFormat="1">
      <c r="B356" s="294"/>
      <c r="C356" s="826"/>
      <c r="D356" s="119" t="s">
        <v>36</v>
      </c>
      <c r="E356" s="469" t="s">
        <v>21</v>
      </c>
      <c r="F356" s="275">
        <f>G350+G351+G355</f>
        <v>12.6</v>
      </c>
      <c r="G356" s="336" t="s">
        <v>37</v>
      </c>
      <c r="H356" s="275">
        <f>SUM(H350:H355)</f>
        <v>16445347.085454544</v>
      </c>
      <c r="I356" s="332"/>
      <c r="J356" s="333"/>
      <c r="K356" s="71"/>
      <c r="L356" s="199"/>
      <c r="M356" s="49"/>
      <c r="N356" s="114"/>
      <c r="O356" s="115"/>
      <c r="P356" s="112"/>
      <c r="Q356" s="87"/>
      <c r="R356" s="55"/>
      <c r="S356" s="185"/>
    </row>
    <row r="357" spans="2:19" s="5" customFormat="1">
      <c r="B357" s="294"/>
      <c r="C357" s="826"/>
      <c r="D357" s="131" t="s">
        <v>38</v>
      </c>
      <c r="E357" s="469" t="s">
        <v>21</v>
      </c>
      <c r="F357" s="331">
        <f>SUM(H350:H355)</f>
        <v>16445347.085454544</v>
      </c>
      <c r="G357" s="337">
        <f>$G$21</f>
        <v>8.3299999999999999E-2</v>
      </c>
      <c r="H357" s="275">
        <f>+G357*F357</f>
        <v>1369897.4122183635</v>
      </c>
      <c r="I357" s="338"/>
      <c r="J357" s="338"/>
      <c r="K357" s="71"/>
      <c r="L357" s="199"/>
      <c r="M357" s="49"/>
      <c r="N357" s="86"/>
      <c r="O357" s="117"/>
      <c r="P357" s="97">
        <f>H357</f>
        <v>1369897.4122183635</v>
      </c>
      <c r="Q357" s="105"/>
      <c r="R357" s="55"/>
      <c r="S357" s="185"/>
    </row>
    <row r="358" spans="2:19" s="5" customFormat="1">
      <c r="B358" s="294"/>
      <c r="C358" s="826"/>
      <c r="D358" s="131" t="s">
        <v>231</v>
      </c>
      <c r="E358" s="470">
        <f>F357/(5*F356)</f>
        <v>261037.25532467529</v>
      </c>
      <c r="F358" s="331">
        <f>E358*(F356*7)</f>
        <v>23023485.919636361</v>
      </c>
      <c r="G358" s="339">
        <f>$G$22</f>
        <v>20</v>
      </c>
      <c r="H358" s="275">
        <f>F358/G358</f>
        <v>1151174.2959818181</v>
      </c>
      <c r="I358" s="340">
        <v>0</v>
      </c>
      <c r="J358" s="340"/>
      <c r="K358" s="71">
        <f>SUM(G350:G358)</f>
        <v>38.683300000000003</v>
      </c>
      <c r="L358" s="199"/>
      <c r="M358" s="49"/>
      <c r="N358" s="86"/>
      <c r="O358" s="117"/>
      <c r="P358" s="97">
        <f>H358</f>
        <v>1151174.2959818181</v>
      </c>
      <c r="Q358" s="105"/>
      <c r="R358" s="55"/>
      <c r="S358" s="185"/>
    </row>
    <row r="359" spans="2:19" s="5" customFormat="1">
      <c r="B359" s="297"/>
      <c r="C359" s="826"/>
      <c r="D359" s="131" t="s">
        <v>354</v>
      </c>
      <c r="E359" s="470">
        <v>8.3333333333333329E-2</v>
      </c>
      <c r="F359" s="331">
        <f>H358</f>
        <v>1151174.2959818181</v>
      </c>
      <c r="G359" s="439">
        <v>1</v>
      </c>
      <c r="H359" s="275">
        <f>F359*E359</f>
        <v>95931.191331818176</v>
      </c>
      <c r="I359" s="340">
        <v>0</v>
      </c>
      <c r="J359" s="340">
        <f>SUM(H356:H359)</f>
        <v>19062349.984986544</v>
      </c>
      <c r="K359" s="71">
        <f>SUM(G351:G359)</f>
        <v>33.683300000000003</v>
      </c>
      <c r="L359" s="163"/>
      <c r="M359" s="49"/>
      <c r="N359" s="86"/>
      <c r="O359" s="117"/>
      <c r="P359" s="97">
        <f>H359</f>
        <v>95931.191331818176</v>
      </c>
      <c r="Q359" s="105"/>
      <c r="R359" s="55"/>
      <c r="S359" s="185"/>
    </row>
    <row r="360" spans="2:19" s="5" customFormat="1">
      <c r="B360" s="294"/>
      <c r="C360" s="826"/>
      <c r="D360" s="119"/>
      <c r="E360" s="471"/>
      <c r="F360" s="341"/>
      <c r="G360" s="342"/>
      <c r="H360" s="343"/>
      <c r="I360" s="333"/>
      <c r="J360" s="333"/>
      <c r="K360" s="71"/>
      <c r="L360" s="163"/>
      <c r="M360" s="49"/>
      <c r="N360" s="103"/>
      <c r="O360" s="104"/>
      <c r="P360" s="104"/>
      <c r="Q360" s="105"/>
      <c r="R360" s="55"/>
      <c r="S360" s="185"/>
    </row>
    <row r="361" spans="2:19" s="5" customFormat="1" ht="15" customHeight="1">
      <c r="B361" s="398">
        <v>31</v>
      </c>
      <c r="C361" s="1006">
        <v>1</v>
      </c>
      <c r="D361" s="122" t="s">
        <v>68</v>
      </c>
      <c r="E361" s="467">
        <f>'SICA a Marzo2026'!E35</f>
        <v>761947.56</v>
      </c>
      <c r="F361" s="341"/>
      <c r="G361" s="344"/>
      <c r="H361" s="345"/>
      <c r="I361" s="346"/>
      <c r="J361" s="346"/>
      <c r="K361" s="71"/>
      <c r="L361" s="163"/>
      <c r="M361" s="16"/>
      <c r="N361" s="103"/>
      <c r="O361" s="104"/>
      <c r="P361" s="104"/>
      <c r="Q361" s="105"/>
      <c r="R361" s="22"/>
      <c r="S361" s="185"/>
    </row>
    <row r="362" spans="2:19" s="5" customFormat="1">
      <c r="B362" s="294"/>
      <c r="C362" s="826"/>
      <c r="D362" s="119" t="s">
        <v>0</v>
      </c>
      <c r="E362" s="467" t="s">
        <v>33</v>
      </c>
      <c r="F362" s="331">
        <f>E361</f>
        <v>761947.56</v>
      </c>
      <c r="G362" s="275">
        <f>F3</f>
        <v>7</v>
      </c>
      <c r="H362" s="275">
        <f>+G362*F362</f>
        <v>5333632.92</v>
      </c>
      <c r="I362" s="333"/>
      <c r="J362" s="333"/>
      <c r="K362" s="71"/>
      <c r="L362" s="163"/>
      <c r="M362" s="49"/>
      <c r="N362" s="86">
        <f>H362</f>
        <v>5333632.92</v>
      </c>
      <c r="O362" s="112"/>
      <c r="P362" s="86"/>
      <c r="Q362" s="87"/>
      <c r="R362" s="55"/>
      <c r="S362" s="185"/>
    </row>
    <row r="363" spans="2:19" s="5" customFormat="1">
      <c r="B363" s="294"/>
      <c r="C363" s="826"/>
      <c r="D363" s="119" t="s">
        <v>4</v>
      </c>
      <c r="E363" s="467" t="s">
        <v>33</v>
      </c>
      <c r="F363" s="331">
        <f>E361</f>
        <v>761947.56</v>
      </c>
      <c r="G363" s="275">
        <f>$F$4</f>
        <v>6</v>
      </c>
      <c r="H363" s="275">
        <f>+G363*F363</f>
        <v>4571685.3600000003</v>
      </c>
      <c r="I363" s="333"/>
      <c r="J363" s="333"/>
      <c r="K363" s="71"/>
      <c r="L363" s="163"/>
      <c r="M363" s="49"/>
      <c r="N363" s="86"/>
      <c r="O363" s="112">
        <f>H363</f>
        <v>4571685.3600000003</v>
      </c>
      <c r="P363" s="86"/>
      <c r="Q363" s="87"/>
      <c r="R363" s="55"/>
      <c r="S363" s="185"/>
    </row>
    <row r="364" spans="2:19" s="5" customFormat="1">
      <c r="B364" s="294"/>
      <c r="C364" s="826"/>
      <c r="D364" s="119" t="s">
        <v>34</v>
      </c>
      <c r="E364" s="468">
        <f>$H$5</f>
        <v>11.25</v>
      </c>
      <c r="F364" s="331">
        <f>E361/44*1.5</f>
        <v>25975.485000000001</v>
      </c>
      <c r="G364" s="334">
        <f>$F$4</f>
        <v>6</v>
      </c>
      <c r="H364" s="275">
        <f>+G364*F364*E364</f>
        <v>1753345.2375</v>
      </c>
      <c r="I364" s="333"/>
      <c r="J364" s="333"/>
      <c r="K364" s="71"/>
      <c r="L364" s="163"/>
      <c r="M364" s="49"/>
      <c r="N364" s="86"/>
      <c r="O364" s="112">
        <f>H364</f>
        <v>1753345.2375</v>
      </c>
      <c r="P364" s="86"/>
      <c r="Q364" s="87"/>
      <c r="R364" s="55"/>
      <c r="S364" s="185"/>
    </row>
    <row r="365" spans="2:19" s="5" customFormat="1">
      <c r="B365" s="294"/>
      <c r="C365" s="826"/>
      <c r="D365" s="119" t="s">
        <v>1</v>
      </c>
      <c r="E365" s="469" t="s">
        <v>35</v>
      </c>
      <c r="F365" s="331">
        <f>E361/5*1.5</f>
        <v>228584.26800000004</v>
      </c>
      <c r="G365" s="275">
        <f>$H$3</f>
        <v>0</v>
      </c>
      <c r="H365" s="275">
        <f>+G365*F365</f>
        <v>0</v>
      </c>
      <c r="I365" s="333"/>
      <c r="J365" s="333"/>
      <c r="K365" s="71"/>
      <c r="L365" s="163"/>
      <c r="M365" s="49"/>
      <c r="N365" s="86"/>
      <c r="O365" s="112">
        <f>H365</f>
        <v>0</v>
      </c>
      <c r="P365" s="86"/>
      <c r="Q365" s="87"/>
      <c r="R365" s="55"/>
      <c r="S365" s="185"/>
    </row>
    <row r="366" spans="2:19" s="5" customFormat="1">
      <c r="B366" s="294"/>
      <c r="C366" s="826"/>
      <c r="D366" s="119" t="s">
        <v>5</v>
      </c>
      <c r="E366" s="469" t="s">
        <v>35</v>
      </c>
      <c r="F366" s="331">
        <f>E361/5*2</f>
        <v>304779.02400000003</v>
      </c>
      <c r="G366" s="275">
        <f>$H$4</f>
        <v>0</v>
      </c>
      <c r="H366" s="275">
        <f>+G366*F366</f>
        <v>0</v>
      </c>
      <c r="I366" s="333"/>
      <c r="J366" s="333"/>
      <c r="K366" s="71"/>
      <c r="L366" s="163"/>
      <c r="M366" s="49"/>
      <c r="N366" s="86"/>
      <c r="O366" s="112">
        <f>H366</f>
        <v>0</v>
      </c>
      <c r="P366" s="86"/>
      <c r="Q366" s="87"/>
      <c r="R366" s="55"/>
      <c r="S366" s="185"/>
    </row>
    <row r="367" spans="2:19" s="5" customFormat="1">
      <c r="B367" s="294"/>
      <c r="C367" s="826"/>
      <c r="D367" s="119" t="s">
        <v>6</v>
      </c>
      <c r="E367" s="467" t="s">
        <v>33</v>
      </c>
      <c r="F367" s="331">
        <f>E361</f>
        <v>761947.56</v>
      </c>
      <c r="G367" s="276">
        <v>1</v>
      </c>
      <c r="H367" s="275">
        <f>+G367*F367</f>
        <v>761947.56</v>
      </c>
      <c r="I367" s="333"/>
      <c r="J367" s="333"/>
      <c r="K367" s="71"/>
      <c r="L367" s="163"/>
      <c r="M367" s="49"/>
      <c r="N367" s="86"/>
      <c r="O367" s="112"/>
      <c r="P367" s="86">
        <f>SUM(H367)</f>
        <v>761947.56</v>
      </c>
      <c r="Q367" s="87"/>
      <c r="R367" s="55"/>
      <c r="S367" s="185"/>
    </row>
    <row r="368" spans="2:19" s="5" customFormat="1">
      <c r="B368" s="294"/>
      <c r="C368" s="826"/>
      <c r="D368" s="119" t="s">
        <v>36</v>
      </c>
      <c r="E368" s="469" t="s">
        <v>21</v>
      </c>
      <c r="F368" s="347">
        <f>G362+G363+G367</f>
        <v>14</v>
      </c>
      <c r="G368" s="336" t="s">
        <v>37</v>
      </c>
      <c r="H368" s="275">
        <f>SUM(H362:H367)</f>
        <v>12420611.077500002</v>
      </c>
      <c r="I368" s="332"/>
      <c r="J368" s="333"/>
      <c r="K368" s="71"/>
      <c r="L368" s="163"/>
      <c r="M368" s="49"/>
      <c r="N368" s="114"/>
      <c r="O368" s="115"/>
      <c r="P368" s="112"/>
      <c r="Q368" s="87"/>
      <c r="R368" s="55"/>
      <c r="S368" s="185"/>
    </row>
    <row r="369" spans="2:19" s="5" customFormat="1">
      <c r="B369" s="294"/>
      <c r="C369" s="826"/>
      <c r="D369" s="131" t="s">
        <v>38</v>
      </c>
      <c r="E369" s="469" t="s">
        <v>21</v>
      </c>
      <c r="F369" s="331">
        <f>SUM(H362:H367)</f>
        <v>12420611.077500002</v>
      </c>
      <c r="G369" s="337">
        <f>$G$21</f>
        <v>8.3299999999999999E-2</v>
      </c>
      <c r="H369" s="275">
        <f>+G369*F369</f>
        <v>1034636.9027557502</v>
      </c>
      <c r="I369" s="338"/>
      <c r="J369" s="338"/>
      <c r="K369" s="71"/>
      <c r="L369" s="163"/>
      <c r="M369" s="49"/>
      <c r="N369" s="86"/>
      <c r="O369" s="117"/>
      <c r="P369" s="97">
        <f>H369</f>
        <v>1034636.9027557502</v>
      </c>
      <c r="Q369" s="105"/>
      <c r="R369" s="55"/>
      <c r="S369" s="185"/>
    </row>
    <row r="370" spans="2:19" s="5" customFormat="1">
      <c r="B370" s="294"/>
      <c r="C370" s="826"/>
      <c r="D370" s="131" t="s">
        <v>39</v>
      </c>
      <c r="E370" s="470">
        <f>F369/(5*F368)</f>
        <v>177437.30110714291</v>
      </c>
      <c r="F370" s="331">
        <f>E370*(F368*7)</f>
        <v>17388855.508500006</v>
      </c>
      <c r="G370" s="339">
        <f>$G$22</f>
        <v>20</v>
      </c>
      <c r="H370" s="275">
        <f>F370/G370</f>
        <v>869442.77542500035</v>
      </c>
      <c r="I370" s="340">
        <v>0</v>
      </c>
      <c r="J370" s="340"/>
      <c r="K370" s="71">
        <f>SUM(G362:G370)</f>
        <v>40.083300000000001</v>
      </c>
      <c r="L370" s="163"/>
      <c r="M370" s="49"/>
      <c r="N370" s="86"/>
      <c r="O370" s="117"/>
      <c r="P370" s="97">
        <f>H370</f>
        <v>869442.77542500035</v>
      </c>
      <c r="Q370" s="105"/>
      <c r="R370" s="55"/>
      <c r="S370" s="185"/>
    </row>
    <row r="371" spans="2:19" s="5" customFormat="1">
      <c r="B371" s="297"/>
      <c r="C371" s="826"/>
      <c r="D371" s="131" t="s">
        <v>354</v>
      </c>
      <c r="E371" s="470">
        <v>8.3333333333333329E-2</v>
      </c>
      <c r="F371" s="331">
        <f>H370</f>
        <v>869442.77542500035</v>
      </c>
      <c r="G371" s="439">
        <v>1</v>
      </c>
      <c r="H371" s="275">
        <f>F371*E371</f>
        <v>72453.564618750024</v>
      </c>
      <c r="I371" s="340">
        <v>0</v>
      </c>
      <c r="J371" s="340">
        <f>SUM(H368:H371)</f>
        <v>14397144.320299502</v>
      </c>
      <c r="K371" s="71">
        <f>SUM(G363:G371)</f>
        <v>34.083300000000001</v>
      </c>
      <c r="L371" s="163"/>
      <c r="M371" s="49"/>
      <c r="N371" s="86"/>
      <c r="O371" s="117"/>
      <c r="P371" s="97">
        <f>H371</f>
        <v>72453.564618750024</v>
      </c>
      <c r="Q371" s="105"/>
      <c r="R371" s="55"/>
      <c r="S371" s="185"/>
    </row>
    <row r="372" spans="2:19" s="5" customFormat="1">
      <c r="B372" s="294"/>
      <c r="C372" s="826"/>
      <c r="D372" s="119"/>
      <c r="E372" s="471"/>
      <c r="F372" s="341"/>
      <c r="G372" s="342"/>
      <c r="H372" s="343"/>
      <c r="I372" s="333"/>
      <c r="J372" s="333"/>
      <c r="K372" s="71"/>
      <c r="L372" s="163"/>
      <c r="M372" s="49"/>
      <c r="N372" s="103"/>
      <c r="O372" s="104"/>
      <c r="P372" s="104"/>
      <c r="Q372" s="105"/>
      <c r="R372" s="55"/>
      <c r="S372" s="185"/>
    </row>
    <row r="373" spans="2:19" s="5" customFormat="1" ht="15" customHeight="1">
      <c r="B373" s="398">
        <v>32</v>
      </c>
      <c r="C373" s="1006">
        <v>1</v>
      </c>
      <c r="D373" s="182" t="s">
        <v>316</v>
      </c>
      <c r="E373" s="467">
        <f>'SICA a Marzo2026'!E36</f>
        <v>551815.19999999995</v>
      </c>
      <c r="F373" s="341"/>
      <c r="G373" s="344"/>
      <c r="H373" s="345"/>
      <c r="I373" s="346"/>
      <c r="J373" s="346"/>
      <c r="K373" s="71"/>
      <c r="L373" s="163"/>
      <c r="M373" s="16"/>
      <c r="N373" s="103"/>
      <c r="O373" s="104"/>
      <c r="P373" s="104"/>
      <c r="Q373" s="105"/>
      <c r="R373" s="22"/>
      <c r="S373" s="185"/>
    </row>
    <row r="374" spans="2:19" s="5" customFormat="1">
      <c r="B374" s="294"/>
      <c r="C374" s="826"/>
      <c r="D374" s="119" t="s">
        <v>0</v>
      </c>
      <c r="E374" s="467" t="s">
        <v>33</v>
      </c>
      <c r="F374" s="331">
        <f>E373</f>
        <v>551815.19999999995</v>
      </c>
      <c r="G374" s="275">
        <v>6</v>
      </c>
      <c r="H374" s="275">
        <f>+G374*F374</f>
        <v>3310891.1999999997</v>
      </c>
      <c r="I374" s="333"/>
      <c r="J374" s="333"/>
      <c r="K374" s="71"/>
      <c r="L374" s="163"/>
      <c r="M374" s="49"/>
      <c r="N374" s="86">
        <f>H374</f>
        <v>3310891.1999999997</v>
      </c>
      <c r="O374" s="112"/>
      <c r="P374" s="86"/>
      <c r="Q374" s="87"/>
      <c r="R374" s="55"/>
      <c r="S374" s="185"/>
    </row>
    <row r="375" spans="2:19" s="5" customFormat="1">
      <c r="B375" s="294"/>
      <c r="C375" s="826"/>
      <c r="D375" s="119" t="s">
        <v>4</v>
      </c>
      <c r="E375" s="467" t="s">
        <v>33</v>
      </c>
      <c r="F375" s="331">
        <f>E373</f>
        <v>551815.19999999995</v>
      </c>
      <c r="G375" s="275">
        <f>$F$4</f>
        <v>6</v>
      </c>
      <c r="H375" s="275">
        <f>+G375*F375</f>
        <v>3310891.1999999997</v>
      </c>
      <c r="I375" s="333"/>
      <c r="J375" s="333"/>
      <c r="K375" s="71"/>
      <c r="L375" s="163"/>
      <c r="M375" s="49"/>
      <c r="N375" s="86"/>
      <c r="O375" s="112">
        <f>H375</f>
        <v>3310891.1999999997</v>
      </c>
      <c r="P375" s="86"/>
      <c r="Q375" s="87"/>
      <c r="R375" s="55"/>
      <c r="S375" s="185"/>
    </row>
    <row r="376" spans="2:19" s="5" customFormat="1">
      <c r="B376" s="294"/>
      <c r="C376" s="826"/>
      <c r="D376" s="119" t="s">
        <v>34</v>
      </c>
      <c r="E376" s="468">
        <f>$H$5+2</f>
        <v>13.25</v>
      </c>
      <c r="F376" s="331">
        <f>E373/44*1.5</f>
        <v>18811.881818181817</v>
      </c>
      <c r="G376" s="334">
        <f>$F$4</f>
        <v>6</v>
      </c>
      <c r="H376" s="275">
        <f>+G376*F376*E376</f>
        <v>1495544.6045454543</v>
      </c>
      <c r="I376" s="333"/>
      <c r="J376" s="333"/>
      <c r="K376" s="71"/>
      <c r="L376" s="163"/>
      <c r="M376" s="49"/>
      <c r="N376" s="86"/>
      <c r="O376" s="112">
        <f>H376</f>
        <v>1495544.6045454543</v>
      </c>
      <c r="P376" s="86"/>
      <c r="Q376" s="87"/>
      <c r="R376" s="55"/>
      <c r="S376" s="185"/>
    </row>
    <row r="377" spans="2:19" s="5" customFormat="1">
      <c r="B377" s="294"/>
      <c r="C377" s="826"/>
      <c r="D377" s="119" t="s">
        <v>1</v>
      </c>
      <c r="E377" s="469" t="s">
        <v>35</v>
      </c>
      <c r="F377" s="331">
        <f>E373/5*1.5</f>
        <v>165544.56</v>
      </c>
      <c r="G377" s="275">
        <f>$H$3</f>
        <v>0</v>
      </c>
      <c r="H377" s="275">
        <f>+G377*F377</f>
        <v>0</v>
      </c>
      <c r="I377" s="333"/>
      <c r="J377" s="333"/>
      <c r="K377" s="71"/>
      <c r="L377" s="163"/>
      <c r="M377" s="49"/>
      <c r="N377" s="86"/>
      <c r="O377" s="112">
        <f>H377</f>
        <v>0</v>
      </c>
      <c r="P377" s="86"/>
      <c r="Q377" s="87"/>
      <c r="R377" s="55"/>
      <c r="S377" s="185"/>
    </row>
    <row r="378" spans="2:19" s="5" customFormat="1">
      <c r="B378" s="294"/>
      <c r="C378" s="826"/>
      <c r="D378" s="119" t="s">
        <v>5</v>
      </c>
      <c r="E378" s="469" t="s">
        <v>35</v>
      </c>
      <c r="F378" s="331">
        <f>E373/5*2</f>
        <v>220726.08</v>
      </c>
      <c r="G378" s="275">
        <f>$H$4</f>
        <v>0</v>
      </c>
      <c r="H378" s="275">
        <f>+G378*F378</f>
        <v>0</v>
      </c>
      <c r="I378" s="333"/>
      <c r="J378" s="333"/>
      <c r="K378" s="71"/>
      <c r="L378" s="163"/>
      <c r="M378" s="49"/>
      <c r="N378" s="86"/>
      <c r="O378" s="112">
        <f>H378</f>
        <v>0</v>
      </c>
      <c r="P378" s="86"/>
      <c r="Q378" s="87"/>
      <c r="R378" s="55"/>
      <c r="S378" s="185"/>
    </row>
    <row r="379" spans="2:19" s="5" customFormat="1">
      <c r="B379" s="294"/>
      <c r="C379" s="826"/>
      <c r="D379" s="119" t="s">
        <v>6</v>
      </c>
      <c r="E379" s="467" t="s">
        <v>33</v>
      </c>
      <c r="F379" s="331">
        <f>E373</f>
        <v>551815.19999999995</v>
      </c>
      <c r="G379" s="276">
        <v>1</v>
      </c>
      <c r="H379" s="275">
        <f>+G379*F379</f>
        <v>551815.19999999995</v>
      </c>
      <c r="I379" s="333"/>
      <c r="J379" s="333"/>
      <c r="K379" s="71"/>
      <c r="L379" s="163"/>
      <c r="M379" s="49"/>
      <c r="N379" s="86"/>
      <c r="O379" s="112"/>
      <c r="P379" s="86">
        <f>SUM(H379)</f>
        <v>551815.19999999995</v>
      </c>
      <c r="Q379" s="87"/>
      <c r="R379" s="55"/>
      <c r="S379" s="185"/>
    </row>
    <row r="380" spans="2:19" s="5" customFormat="1">
      <c r="B380" s="294"/>
      <c r="C380" s="826"/>
      <c r="D380" s="119" t="s">
        <v>36</v>
      </c>
      <c r="E380" s="469" t="s">
        <v>21</v>
      </c>
      <c r="F380" s="347">
        <f>G374+G375+G379</f>
        <v>13</v>
      </c>
      <c r="G380" s="336" t="s">
        <v>37</v>
      </c>
      <c r="H380" s="275">
        <f>SUM(H374:H379)</f>
        <v>8669142.2045454532</v>
      </c>
      <c r="I380" s="332"/>
      <c r="J380" s="333"/>
      <c r="K380" s="71"/>
      <c r="L380" s="163"/>
      <c r="M380" s="49"/>
      <c r="N380" s="114"/>
      <c r="O380" s="115"/>
      <c r="P380" s="112"/>
      <c r="Q380" s="87"/>
      <c r="R380" s="55"/>
      <c r="S380" s="185"/>
    </row>
    <row r="381" spans="2:19" s="5" customFormat="1">
      <c r="B381" s="294"/>
      <c r="C381" s="826"/>
      <c r="D381" s="131" t="s">
        <v>38</v>
      </c>
      <c r="E381" s="469" t="s">
        <v>21</v>
      </c>
      <c r="F381" s="331">
        <f>SUM(H374:H379)</f>
        <v>8669142.2045454532</v>
      </c>
      <c r="G381" s="337">
        <f>$G$21</f>
        <v>8.3299999999999999E-2</v>
      </c>
      <c r="H381" s="275">
        <f>+G381*F381</f>
        <v>722139.54563863622</v>
      </c>
      <c r="I381" s="338"/>
      <c r="J381" s="338"/>
      <c r="K381" s="71"/>
      <c r="L381" s="163"/>
      <c r="M381" s="49"/>
      <c r="N381" s="86"/>
      <c r="O381" s="117"/>
      <c r="P381" s="97">
        <f>H381</f>
        <v>722139.54563863622</v>
      </c>
      <c r="Q381" s="105"/>
      <c r="R381" s="55"/>
      <c r="S381" s="185"/>
    </row>
    <row r="382" spans="2:19" s="5" customFormat="1">
      <c r="B382" s="294"/>
      <c r="C382" s="826"/>
      <c r="D382" s="131" t="s">
        <v>39</v>
      </c>
      <c r="E382" s="470">
        <f>F381/(5*F380)</f>
        <v>133371.41853146852</v>
      </c>
      <c r="F382" s="331">
        <f>E382*(F380*7)</f>
        <v>12136799.086363634</v>
      </c>
      <c r="G382" s="339">
        <f>$G$22</f>
        <v>20</v>
      </c>
      <c r="H382" s="275">
        <f>F382/G382</f>
        <v>606839.95431818173</v>
      </c>
      <c r="I382" s="340">
        <v>0</v>
      </c>
      <c r="J382" s="340"/>
      <c r="K382" s="71">
        <f>SUM(G374:G382)</f>
        <v>39.083300000000001</v>
      </c>
      <c r="L382" s="163"/>
      <c r="M382" s="49"/>
      <c r="N382" s="86"/>
      <c r="O382" s="117"/>
      <c r="P382" s="97">
        <f>H382</f>
        <v>606839.95431818173</v>
      </c>
      <c r="Q382" s="105"/>
      <c r="R382" s="55"/>
      <c r="S382" s="185"/>
    </row>
    <row r="383" spans="2:19" s="5" customFormat="1">
      <c r="B383" s="297"/>
      <c r="C383" s="826"/>
      <c r="D383" s="131" t="s">
        <v>354</v>
      </c>
      <c r="E383" s="470">
        <v>8.3333333333333329E-2</v>
      </c>
      <c r="F383" s="331">
        <f>H382</f>
        <v>606839.95431818173</v>
      </c>
      <c r="G383" s="439">
        <v>1</v>
      </c>
      <c r="H383" s="275">
        <f>F383*E383</f>
        <v>50569.996193181811</v>
      </c>
      <c r="I383" s="340">
        <v>0</v>
      </c>
      <c r="J383" s="340">
        <f>SUM(H380:H383)</f>
        <v>10048691.700695453</v>
      </c>
      <c r="K383" s="71">
        <f>SUM(G375:G383)</f>
        <v>34.083300000000001</v>
      </c>
      <c r="L383" s="163"/>
      <c r="M383" s="49"/>
      <c r="N383" s="86"/>
      <c r="O383" s="117"/>
      <c r="P383" s="97">
        <f>H383</f>
        <v>50569.996193181811</v>
      </c>
      <c r="Q383" s="105"/>
      <c r="R383" s="55"/>
      <c r="S383" s="185"/>
    </row>
    <row r="384" spans="2:19" s="5" customFormat="1">
      <c r="B384" s="294"/>
      <c r="C384" s="826"/>
      <c r="D384" s="119"/>
      <c r="E384" s="472"/>
      <c r="F384" s="341"/>
      <c r="G384" s="342"/>
      <c r="H384" s="343"/>
      <c r="I384" s="333"/>
      <c r="J384" s="333"/>
      <c r="K384" s="71"/>
      <c r="L384" s="163"/>
      <c r="M384" s="49"/>
      <c r="N384" s="103"/>
      <c r="O384" s="104"/>
      <c r="P384" s="104"/>
      <c r="Q384" s="105"/>
      <c r="R384" s="55"/>
      <c r="S384" s="185"/>
    </row>
    <row r="385" spans="2:19" s="5" customFormat="1" ht="15" customHeight="1">
      <c r="B385" s="398">
        <v>33</v>
      </c>
      <c r="C385" s="1006">
        <v>1</v>
      </c>
      <c r="D385" s="182" t="s">
        <v>70</v>
      </c>
      <c r="E385" s="467">
        <f>'SICA a Marzo2026'!E37</f>
        <v>446644.8</v>
      </c>
      <c r="F385" s="341"/>
      <c r="G385" s="344"/>
      <c r="H385" s="345"/>
      <c r="I385" s="346"/>
      <c r="J385" s="346"/>
      <c r="K385" s="71"/>
      <c r="L385" s="163"/>
      <c r="M385" s="16"/>
      <c r="N385" s="103"/>
      <c r="O385" s="104"/>
      <c r="P385" s="104"/>
      <c r="Q385" s="105"/>
      <c r="R385" s="22"/>
      <c r="S385" s="185"/>
    </row>
    <row r="386" spans="2:19" s="5" customFormat="1">
      <c r="B386" s="294"/>
      <c r="C386" s="826"/>
      <c r="D386" s="119" t="s">
        <v>0</v>
      </c>
      <c r="E386" s="467" t="s">
        <v>33</v>
      </c>
      <c r="F386" s="331">
        <f>E385</f>
        <v>446644.8</v>
      </c>
      <c r="G386" s="275">
        <v>1</v>
      </c>
      <c r="H386" s="275">
        <f>+G386*F386</f>
        <v>446644.8</v>
      </c>
      <c r="I386" s="333"/>
      <c r="J386" s="333"/>
      <c r="K386" s="71"/>
      <c r="L386" s="163"/>
      <c r="M386" s="49"/>
      <c r="N386" s="86">
        <f>H386</f>
        <v>446644.8</v>
      </c>
      <c r="O386" s="112"/>
      <c r="P386" s="86"/>
      <c r="Q386" s="87"/>
      <c r="R386" s="55"/>
      <c r="S386" s="185"/>
    </row>
    <row r="387" spans="2:19" s="5" customFormat="1">
      <c r="B387" s="294"/>
      <c r="C387" s="826"/>
      <c r="D387" s="119" t="s">
        <v>4</v>
      </c>
      <c r="E387" s="467" t="s">
        <v>33</v>
      </c>
      <c r="F387" s="331">
        <f>E385</f>
        <v>446644.8</v>
      </c>
      <c r="G387" s="275">
        <f>$F$4</f>
        <v>6</v>
      </c>
      <c r="H387" s="275">
        <f>+G387*F387</f>
        <v>2679868.7999999998</v>
      </c>
      <c r="I387" s="333"/>
      <c r="J387" s="333"/>
      <c r="K387" s="71"/>
      <c r="L387" s="163"/>
      <c r="M387" s="49"/>
      <c r="N387" s="86"/>
      <c r="O387" s="112">
        <f>H387</f>
        <v>2679868.7999999998</v>
      </c>
      <c r="P387" s="86"/>
      <c r="Q387" s="87"/>
      <c r="R387" s="55"/>
      <c r="S387" s="185"/>
    </row>
    <row r="388" spans="2:19" s="5" customFormat="1">
      <c r="B388" s="294"/>
      <c r="C388" s="826"/>
      <c r="D388" s="119" t="s">
        <v>34</v>
      </c>
      <c r="E388" s="468">
        <f>$H$5+2</f>
        <v>13.25</v>
      </c>
      <c r="F388" s="331">
        <f>E385/44*1.5</f>
        <v>15226.527272727271</v>
      </c>
      <c r="G388" s="334">
        <f>$F$4</f>
        <v>6</v>
      </c>
      <c r="H388" s="275">
        <f>+G388*F388*E388</f>
        <v>1210508.9181818182</v>
      </c>
      <c r="I388" s="333"/>
      <c r="J388" s="333"/>
      <c r="K388" s="71"/>
      <c r="L388" s="163"/>
      <c r="M388" s="49"/>
      <c r="N388" s="86"/>
      <c r="O388" s="112">
        <f>H388</f>
        <v>1210508.9181818182</v>
      </c>
      <c r="P388" s="86"/>
      <c r="Q388" s="87"/>
      <c r="R388" s="55"/>
      <c r="S388" s="185"/>
    </row>
    <row r="389" spans="2:19" s="5" customFormat="1">
      <c r="B389" s="294"/>
      <c r="C389" s="826"/>
      <c r="D389" s="119" t="s">
        <v>1</v>
      </c>
      <c r="E389" s="469" t="s">
        <v>35</v>
      </c>
      <c r="F389" s="331">
        <f>E385/5*1.5</f>
        <v>133993.44</v>
      </c>
      <c r="G389" s="275">
        <f>$H$3</f>
        <v>0</v>
      </c>
      <c r="H389" s="275">
        <f>+G389*F389</f>
        <v>0</v>
      </c>
      <c r="I389" s="333"/>
      <c r="J389" s="333"/>
      <c r="K389" s="71"/>
      <c r="L389" s="163"/>
      <c r="M389" s="49"/>
      <c r="N389" s="86"/>
      <c r="O389" s="112">
        <f>H389</f>
        <v>0</v>
      </c>
      <c r="P389" s="86"/>
      <c r="Q389" s="87"/>
      <c r="R389" s="55"/>
      <c r="S389" s="185"/>
    </row>
    <row r="390" spans="2:19" s="5" customFormat="1">
      <c r="B390" s="294"/>
      <c r="C390" s="826"/>
      <c r="D390" s="119" t="s">
        <v>5</v>
      </c>
      <c r="E390" s="469" t="s">
        <v>35</v>
      </c>
      <c r="F390" s="331">
        <f>E385/5*2</f>
        <v>178657.91999999998</v>
      </c>
      <c r="G390" s="275">
        <f>$H$4</f>
        <v>0</v>
      </c>
      <c r="H390" s="275">
        <f>+G390*F390</f>
        <v>0</v>
      </c>
      <c r="I390" s="333"/>
      <c r="J390" s="333"/>
      <c r="K390" s="71"/>
      <c r="L390" s="163"/>
      <c r="M390" s="49"/>
      <c r="N390" s="86"/>
      <c r="O390" s="112">
        <f>H390</f>
        <v>0</v>
      </c>
      <c r="P390" s="86"/>
      <c r="Q390" s="87"/>
      <c r="R390" s="55"/>
      <c r="S390" s="185"/>
    </row>
    <row r="391" spans="2:19" s="5" customFormat="1">
      <c r="B391" s="294"/>
      <c r="C391" s="826"/>
      <c r="D391" s="119" t="s">
        <v>6</v>
      </c>
      <c r="E391" s="467" t="s">
        <v>33</v>
      </c>
      <c r="F391" s="331">
        <f>E385</f>
        <v>446644.8</v>
      </c>
      <c r="G391" s="276">
        <v>0.6</v>
      </c>
      <c r="H391" s="275">
        <f>+G391*F391</f>
        <v>267986.88</v>
      </c>
      <c r="I391" s="333"/>
      <c r="J391" s="333"/>
      <c r="K391" s="71"/>
      <c r="L391" s="163"/>
      <c r="M391" s="49"/>
      <c r="N391" s="86"/>
      <c r="O391" s="112"/>
      <c r="P391" s="86">
        <f>SUM(H391)</f>
        <v>267986.88</v>
      </c>
      <c r="Q391" s="87"/>
      <c r="R391" s="55"/>
      <c r="S391" s="185"/>
    </row>
    <row r="392" spans="2:19" s="5" customFormat="1">
      <c r="B392" s="294"/>
      <c r="C392" s="826"/>
      <c r="D392" s="119" t="s">
        <v>36</v>
      </c>
      <c r="E392" s="469" t="s">
        <v>21</v>
      </c>
      <c r="F392" s="347">
        <f>G386+G387+G391</f>
        <v>7.6</v>
      </c>
      <c r="G392" s="336" t="s">
        <v>37</v>
      </c>
      <c r="H392" s="275">
        <f>SUM(H386:H391)</f>
        <v>4605009.3981818175</v>
      </c>
      <c r="I392" s="332"/>
      <c r="J392" s="333"/>
      <c r="K392" s="71"/>
      <c r="L392" s="163"/>
      <c r="M392" s="49"/>
      <c r="N392" s="114"/>
      <c r="O392" s="115"/>
      <c r="P392" s="112"/>
      <c r="Q392" s="87"/>
      <c r="R392" s="55"/>
      <c r="S392" s="185"/>
    </row>
    <row r="393" spans="2:19" s="5" customFormat="1">
      <c r="B393" s="294"/>
      <c r="C393" s="826"/>
      <c r="D393" s="131" t="s">
        <v>38</v>
      </c>
      <c r="E393" s="469" t="s">
        <v>21</v>
      </c>
      <c r="F393" s="331">
        <f>SUM(H386:H391)</f>
        <v>4605009.3981818175</v>
      </c>
      <c r="G393" s="337">
        <f>$G$21</f>
        <v>8.3299999999999999E-2</v>
      </c>
      <c r="H393" s="275">
        <f>+G393*F393</f>
        <v>383597.28286854539</v>
      </c>
      <c r="I393" s="338"/>
      <c r="J393" s="338"/>
      <c r="K393" s="71"/>
      <c r="L393" s="163"/>
      <c r="M393" s="49"/>
      <c r="N393" s="86"/>
      <c r="O393" s="117"/>
      <c r="P393" s="97">
        <f>H393</f>
        <v>383597.28286854539</v>
      </c>
      <c r="Q393" s="105"/>
      <c r="R393" s="55"/>
      <c r="S393" s="185"/>
    </row>
    <row r="394" spans="2:19" s="5" customFormat="1">
      <c r="B394" s="294"/>
      <c r="C394" s="826"/>
      <c r="D394" s="131" t="s">
        <v>39</v>
      </c>
      <c r="E394" s="470">
        <f>F393/(5*F392)</f>
        <v>121184.45784688993</v>
      </c>
      <c r="F394" s="331">
        <f>E394*(F392*7)</f>
        <v>6447013.1574545437</v>
      </c>
      <c r="G394" s="339">
        <f>$G$22</f>
        <v>20</v>
      </c>
      <c r="H394" s="275">
        <f>F394/G394</f>
        <v>322350.6578727272</v>
      </c>
      <c r="I394" s="340">
        <v>0</v>
      </c>
      <c r="J394" s="340"/>
      <c r="K394" s="71">
        <f>SUM(G386:G394)</f>
        <v>33.683300000000003</v>
      </c>
      <c r="L394" s="163"/>
      <c r="M394" s="49"/>
      <c r="N394" s="86"/>
      <c r="O394" s="117"/>
      <c r="P394" s="97">
        <f>H394</f>
        <v>322350.6578727272</v>
      </c>
      <c r="Q394" s="105"/>
      <c r="R394" s="55"/>
      <c r="S394" s="185"/>
    </row>
    <row r="395" spans="2:19" s="5" customFormat="1">
      <c r="B395" s="297"/>
      <c r="C395" s="826"/>
      <c r="D395" s="131" t="s">
        <v>354</v>
      </c>
      <c r="E395" s="470">
        <v>8.3333333333333329E-2</v>
      </c>
      <c r="F395" s="331">
        <f>H394</f>
        <v>322350.6578727272</v>
      </c>
      <c r="G395" s="439">
        <v>1</v>
      </c>
      <c r="H395" s="275">
        <f>F395*E395</f>
        <v>26862.554822727267</v>
      </c>
      <c r="I395" s="340">
        <v>0</v>
      </c>
      <c r="J395" s="340">
        <f>SUM(H392:H395)</f>
        <v>5337819.8937458172</v>
      </c>
      <c r="K395" s="71">
        <f>SUM(G387:G395)</f>
        <v>33.683300000000003</v>
      </c>
      <c r="L395" s="163"/>
      <c r="M395" s="49"/>
      <c r="N395" s="86"/>
      <c r="O395" s="117"/>
      <c r="P395" s="97">
        <f>H395</f>
        <v>26862.554822727267</v>
      </c>
      <c r="Q395" s="105"/>
      <c r="R395" s="55"/>
      <c r="S395" s="185"/>
    </row>
    <row r="396" spans="2:19" s="5" customFormat="1">
      <c r="B396" s="294"/>
      <c r="C396" s="826"/>
      <c r="D396" s="119"/>
      <c r="E396" s="472"/>
      <c r="F396" s="341"/>
      <c r="G396" s="342"/>
      <c r="H396" s="343"/>
      <c r="I396" s="333"/>
      <c r="J396" s="333"/>
      <c r="K396" s="71"/>
      <c r="L396" s="163"/>
      <c r="M396" s="49"/>
      <c r="N396" s="103"/>
      <c r="O396" s="104"/>
      <c r="P396" s="104"/>
      <c r="Q396" s="105"/>
      <c r="R396" s="55"/>
      <c r="S396" s="185"/>
    </row>
    <row r="397" spans="2:19" s="5" customFormat="1" ht="15" customHeight="1">
      <c r="B397" s="398">
        <v>34</v>
      </c>
      <c r="C397" s="1006">
        <v>1</v>
      </c>
      <c r="D397" s="182" t="s">
        <v>71</v>
      </c>
      <c r="E397" s="467">
        <f>'SICA a Marzo2026'!E38</f>
        <v>551815.19999999995</v>
      </c>
      <c r="F397" s="341"/>
      <c r="G397" s="344"/>
      <c r="H397" s="345"/>
      <c r="I397" s="346"/>
      <c r="J397" s="346"/>
      <c r="K397" s="71"/>
      <c r="L397" s="163"/>
      <c r="M397" s="16"/>
      <c r="N397" s="103"/>
      <c r="O397" s="104"/>
      <c r="P397" s="104"/>
      <c r="Q397" s="105"/>
      <c r="R397" s="22"/>
      <c r="S397" s="185"/>
    </row>
    <row r="398" spans="2:19" s="5" customFormat="1">
      <c r="B398" s="294"/>
      <c r="C398" s="826"/>
      <c r="D398" s="329" t="s">
        <v>0</v>
      </c>
      <c r="E398" s="467" t="s">
        <v>33</v>
      </c>
      <c r="F398" s="331">
        <f>E397</f>
        <v>551815.19999999995</v>
      </c>
      <c r="G398" s="275">
        <v>3</v>
      </c>
      <c r="H398" s="275">
        <f>+G398*F398</f>
        <v>1655445.5999999999</v>
      </c>
      <c r="I398" s="333"/>
      <c r="J398" s="333"/>
      <c r="K398" s="71"/>
      <c r="L398" s="163"/>
      <c r="M398" s="49"/>
      <c r="N398" s="86">
        <f>H398</f>
        <v>1655445.5999999999</v>
      </c>
      <c r="O398" s="112"/>
      <c r="P398" s="86"/>
      <c r="Q398" s="87"/>
      <c r="R398" s="55"/>
      <c r="S398" s="185"/>
    </row>
    <row r="399" spans="2:19" s="5" customFormat="1">
      <c r="B399" s="294"/>
      <c r="C399" s="826"/>
      <c r="D399" s="329" t="s">
        <v>4</v>
      </c>
      <c r="E399" s="467" t="s">
        <v>33</v>
      </c>
      <c r="F399" s="331">
        <f>E397</f>
        <v>551815.19999999995</v>
      </c>
      <c r="G399" s="275">
        <f>$F$4</f>
        <v>6</v>
      </c>
      <c r="H399" s="275">
        <f>+G399*F399</f>
        <v>3310891.1999999997</v>
      </c>
      <c r="I399" s="333"/>
      <c r="J399" s="333"/>
      <c r="K399" s="71"/>
      <c r="L399" s="163"/>
      <c r="M399" s="49"/>
      <c r="N399" s="86"/>
      <c r="O399" s="112">
        <f>H399</f>
        <v>3310891.1999999997</v>
      </c>
      <c r="P399" s="86"/>
      <c r="Q399" s="87"/>
      <c r="R399" s="55"/>
      <c r="S399" s="185"/>
    </row>
    <row r="400" spans="2:19" s="5" customFormat="1">
      <c r="B400" s="294"/>
      <c r="C400" s="826"/>
      <c r="D400" s="329" t="s">
        <v>34</v>
      </c>
      <c r="E400" s="468">
        <f>$H$5</f>
        <v>11.25</v>
      </c>
      <c r="F400" s="331">
        <f>E397/44*1.5</f>
        <v>18811.881818181817</v>
      </c>
      <c r="G400" s="334">
        <f>$F$4</f>
        <v>6</v>
      </c>
      <c r="H400" s="275">
        <f>+G400*F400*E400</f>
        <v>1269802.0227272725</v>
      </c>
      <c r="I400" s="333"/>
      <c r="J400" s="333"/>
      <c r="K400" s="71"/>
      <c r="L400" s="163"/>
      <c r="M400" s="49"/>
      <c r="N400" s="86"/>
      <c r="O400" s="112">
        <f>H400</f>
        <v>1269802.0227272725</v>
      </c>
      <c r="P400" s="86"/>
      <c r="Q400" s="87"/>
      <c r="R400" s="55"/>
      <c r="S400" s="185"/>
    </row>
    <row r="401" spans="2:19" s="5" customFormat="1">
      <c r="B401" s="294"/>
      <c r="C401" s="826"/>
      <c r="D401" s="329" t="s">
        <v>1</v>
      </c>
      <c r="E401" s="469" t="s">
        <v>35</v>
      </c>
      <c r="F401" s="331">
        <f>E397/5*1.5</f>
        <v>165544.56</v>
      </c>
      <c r="G401" s="275">
        <f>$H$3</f>
        <v>0</v>
      </c>
      <c r="H401" s="275">
        <f>+G401*F401</f>
        <v>0</v>
      </c>
      <c r="I401" s="333"/>
      <c r="J401" s="333"/>
      <c r="K401" s="71"/>
      <c r="L401" s="163"/>
      <c r="M401" s="49"/>
      <c r="N401" s="86"/>
      <c r="O401" s="112">
        <f>H401</f>
        <v>0</v>
      </c>
      <c r="P401" s="86"/>
      <c r="Q401" s="87"/>
      <c r="R401" s="55"/>
      <c r="S401" s="185"/>
    </row>
    <row r="402" spans="2:19" s="5" customFormat="1">
      <c r="B402" s="294"/>
      <c r="C402" s="826"/>
      <c r="D402" s="329" t="s">
        <v>5</v>
      </c>
      <c r="E402" s="469" t="s">
        <v>35</v>
      </c>
      <c r="F402" s="331">
        <f>E397/5*2</f>
        <v>220726.08</v>
      </c>
      <c r="G402" s="275">
        <f>$H$4</f>
        <v>0</v>
      </c>
      <c r="H402" s="275">
        <f>+G402*F402</f>
        <v>0</v>
      </c>
      <c r="I402" s="333"/>
      <c r="J402" s="333"/>
      <c r="K402" s="71"/>
      <c r="L402" s="163"/>
      <c r="M402" s="49"/>
      <c r="N402" s="86"/>
      <c r="O402" s="112">
        <f>H402</f>
        <v>0</v>
      </c>
      <c r="P402" s="86"/>
      <c r="Q402" s="87"/>
      <c r="R402" s="55"/>
      <c r="S402" s="185"/>
    </row>
    <row r="403" spans="2:19" s="5" customFormat="1">
      <c r="B403" s="294"/>
      <c r="C403" s="826"/>
      <c r="D403" s="329" t="s">
        <v>6</v>
      </c>
      <c r="E403" s="467" t="s">
        <v>33</v>
      </c>
      <c r="F403" s="331">
        <f>E397</f>
        <v>551815.19999999995</v>
      </c>
      <c r="G403" s="275">
        <f>$F$5-$F$5</f>
        <v>0</v>
      </c>
      <c r="H403" s="275">
        <f>+G403*F403</f>
        <v>0</v>
      </c>
      <c r="I403" s="333"/>
      <c r="J403" s="333"/>
      <c r="K403" s="71"/>
      <c r="L403" s="163"/>
      <c r="M403" s="49"/>
      <c r="N403" s="86"/>
      <c r="O403" s="112"/>
      <c r="P403" s="86">
        <f>SUM(H403)</f>
        <v>0</v>
      </c>
      <c r="Q403" s="87"/>
      <c r="R403" s="55"/>
      <c r="S403" s="185"/>
    </row>
    <row r="404" spans="2:19" s="5" customFormat="1">
      <c r="B404" s="294"/>
      <c r="C404" s="826"/>
      <c r="D404" s="329" t="s">
        <v>36</v>
      </c>
      <c r="E404" s="469" t="s">
        <v>21</v>
      </c>
      <c r="F404" s="347">
        <f>G398+G399+G403</f>
        <v>9</v>
      </c>
      <c r="G404" s="336" t="s">
        <v>37</v>
      </c>
      <c r="H404" s="275">
        <f>SUM(H398:H403)</f>
        <v>6236138.8227272723</v>
      </c>
      <c r="I404" s="332"/>
      <c r="J404" s="333"/>
      <c r="K404" s="71"/>
      <c r="L404" s="163"/>
      <c r="M404" s="49"/>
      <c r="N404" s="114"/>
      <c r="O404" s="115"/>
      <c r="P404" s="112"/>
      <c r="Q404" s="87"/>
      <c r="R404" s="55"/>
      <c r="S404" s="185"/>
    </row>
    <row r="405" spans="2:19" s="5" customFormat="1">
      <c r="B405" s="294"/>
      <c r="C405" s="826"/>
      <c r="D405" s="464" t="s">
        <v>38</v>
      </c>
      <c r="E405" s="469" t="s">
        <v>21</v>
      </c>
      <c r="F405" s="331">
        <f>SUM(H398:H403)</f>
        <v>6236138.8227272723</v>
      </c>
      <c r="G405" s="337">
        <f>$G$21</f>
        <v>8.3299999999999999E-2</v>
      </c>
      <c r="H405" s="275">
        <f>+G405*F405</f>
        <v>519470.3639331818</v>
      </c>
      <c r="I405" s="338"/>
      <c r="J405" s="338"/>
      <c r="K405" s="71"/>
      <c r="L405" s="163"/>
      <c r="M405" s="49"/>
      <c r="N405" s="86"/>
      <c r="O405" s="117"/>
      <c r="P405" s="97">
        <f>H405</f>
        <v>519470.3639331818</v>
      </c>
      <c r="Q405" s="105"/>
      <c r="R405" s="55"/>
      <c r="S405" s="185"/>
    </row>
    <row r="406" spans="2:19" s="5" customFormat="1">
      <c r="B406" s="294"/>
      <c r="C406" s="826"/>
      <c r="D406" s="464" t="s">
        <v>39</v>
      </c>
      <c r="E406" s="470">
        <f>F405/(5*F404)</f>
        <v>138580.86272727273</v>
      </c>
      <c r="F406" s="331">
        <f>E406*(F404*7)</f>
        <v>8730594.3518181816</v>
      </c>
      <c r="G406" s="339">
        <f>$G$22</f>
        <v>20</v>
      </c>
      <c r="H406" s="275">
        <f>F406/G406</f>
        <v>436529.7175909091</v>
      </c>
      <c r="I406" s="340">
        <v>0</v>
      </c>
      <c r="J406" s="340"/>
      <c r="K406" s="71">
        <f>SUM(G398:G406)</f>
        <v>35.083300000000001</v>
      </c>
      <c r="L406" s="163"/>
      <c r="M406" s="49"/>
      <c r="N406" s="86"/>
      <c r="O406" s="117"/>
      <c r="P406" s="97">
        <f>H406</f>
        <v>436529.7175909091</v>
      </c>
      <c r="Q406" s="105"/>
      <c r="R406" s="55"/>
      <c r="S406" s="185"/>
    </row>
    <row r="407" spans="2:19" s="5" customFormat="1">
      <c r="B407" s="297"/>
      <c r="C407" s="826"/>
      <c r="D407" s="131" t="s">
        <v>354</v>
      </c>
      <c r="E407" s="470">
        <v>8.3333333333333329E-2</v>
      </c>
      <c r="F407" s="331">
        <f>H406</f>
        <v>436529.7175909091</v>
      </c>
      <c r="G407" s="439">
        <v>1</v>
      </c>
      <c r="H407" s="275">
        <f>F407*E407</f>
        <v>36377.476465909087</v>
      </c>
      <c r="I407" s="340">
        <v>0</v>
      </c>
      <c r="J407" s="340">
        <f>SUM(H404:H407)</f>
        <v>7228516.3807172719</v>
      </c>
      <c r="K407" s="71">
        <f>SUM(G399:G407)</f>
        <v>33.083300000000001</v>
      </c>
      <c r="L407" s="163"/>
      <c r="M407" s="49"/>
      <c r="N407" s="86"/>
      <c r="O407" s="117"/>
      <c r="P407" s="97">
        <f>H407</f>
        <v>36377.476465909087</v>
      </c>
      <c r="Q407" s="105"/>
      <c r="R407" s="55"/>
      <c r="S407" s="185"/>
    </row>
    <row r="408" spans="2:19" s="5" customFormat="1">
      <c r="B408" s="294"/>
      <c r="C408" s="826"/>
      <c r="D408" s="329"/>
      <c r="E408" s="472"/>
      <c r="F408" s="341"/>
      <c r="G408" s="342"/>
      <c r="H408" s="343"/>
      <c r="I408" s="333"/>
      <c r="J408" s="333"/>
      <c r="K408" s="71"/>
      <c r="L408" s="163"/>
      <c r="M408" s="49"/>
      <c r="N408" s="103"/>
      <c r="O408" s="104"/>
      <c r="P408" s="104"/>
      <c r="Q408" s="105"/>
      <c r="R408" s="55"/>
      <c r="S408" s="185"/>
    </row>
    <row r="409" spans="2:19" s="5" customFormat="1" ht="15" customHeight="1">
      <c r="B409" s="398">
        <v>35</v>
      </c>
      <c r="C409" s="1006">
        <v>1</v>
      </c>
      <c r="D409" s="182" t="s">
        <v>289</v>
      </c>
      <c r="E409" s="467">
        <f>'Equ. Tec. x SICA'!E397</f>
        <v>551815.19999999995</v>
      </c>
      <c r="F409" s="341"/>
      <c r="G409" s="344"/>
      <c r="H409" s="345"/>
      <c r="I409" s="346"/>
      <c r="J409" s="346"/>
      <c r="K409" s="71"/>
      <c r="L409" s="163"/>
      <c r="M409" s="16"/>
      <c r="N409" s="103"/>
      <c r="O409" s="104"/>
      <c r="P409" s="104"/>
      <c r="Q409" s="105"/>
      <c r="R409" s="22"/>
      <c r="S409" s="185"/>
    </row>
    <row r="410" spans="2:19" s="5" customFormat="1">
      <c r="B410" s="294"/>
      <c r="C410" s="826"/>
      <c r="D410" s="119" t="s">
        <v>0</v>
      </c>
      <c r="E410" s="467" t="s">
        <v>33</v>
      </c>
      <c r="F410" s="331">
        <f>E409</f>
        <v>551815.19999999995</v>
      </c>
      <c r="G410" s="275">
        <v>1</v>
      </c>
      <c r="H410" s="275">
        <f>+G410*F410</f>
        <v>551815.19999999995</v>
      </c>
      <c r="I410" s="333"/>
      <c r="J410" s="333"/>
      <c r="K410" s="71"/>
      <c r="L410" s="163"/>
      <c r="M410" s="49"/>
      <c r="N410" s="86">
        <f>H410</f>
        <v>551815.19999999995</v>
      </c>
      <c r="O410" s="112"/>
      <c r="P410" s="86"/>
      <c r="Q410" s="87"/>
      <c r="R410" s="55"/>
      <c r="S410" s="185"/>
    </row>
    <row r="411" spans="2:19" s="5" customFormat="1">
      <c r="B411" s="294"/>
      <c r="C411" s="826"/>
      <c r="D411" s="119" t="s">
        <v>4</v>
      </c>
      <c r="E411" s="467" t="s">
        <v>33</v>
      </c>
      <c r="F411" s="331">
        <f>E409</f>
        <v>551815.19999999995</v>
      </c>
      <c r="G411" s="349">
        <v>6</v>
      </c>
      <c r="H411" s="275">
        <f>+G411*F411</f>
        <v>3310891.1999999997</v>
      </c>
      <c r="I411" s="333"/>
      <c r="J411" s="333"/>
      <c r="K411" s="71"/>
      <c r="L411" s="163"/>
      <c r="M411" s="49"/>
      <c r="N411" s="86"/>
      <c r="O411" s="112">
        <f>H411</f>
        <v>3310891.1999999997</v>
      </c>
      <c r="P411" s="86"/>
      <c r="Q411" s="87"/>
      <c r="R411" s="55"/>
      <c r="S411" s="185"/>
    </row>
    <row r="412" spans="2:19" s="5" customFormat="1">
      <c r="B412" s="294"/>
      <c r="C412" s="826"/>
      <c r="D412" s="119" t="s">
        <v>34</v>
      </c>
      <c r="E412" s="468">
        <f>$H$5</f>
        <v>11.25</v>
      </c>
      <c r="F412" s="331">
        <f>E409/44*1.5</f>
        <v>18811.881818181817</v>
      </c>
      <c r="G412" s="334">
        <f>$F$4</f>
        <v>6</v>
      </c>
      <c r="H412" s="275">
        <f>+G412*F412*E412</f>
        <v>1269802.0227272725</v>
      </c>
      <c r="I412" s="333"/>
      <c r="J412" s="333"/>
      <c r="K412" s="71"/>
      <c r="L412" s="163"/>
      <c r="M412" s="49"/>
      <c r="N412" s="86"/>
      <c r="O412" s="112">
        <f>H412</f>
        <v>1269802.0227272725</v>
      </c>
      <c r="P412" s="86"/>
      <c r="Q412" s="87"/>
      <c r="R412" s="55"/>
      <c r="S412" s="185"/>
    </row>
    <row r="413" spans="2:19" s="5" customFormat="1">
      <c r="B413" s="294"/>
      <c r="C413" s="826"/>
      <c r="D413" s="119" t="s">
        <v>1</v>
      </c>
      <c r="E413" s="469" t="s">
        <v>35</v>
      </c>
      <c r="F413" s="331">
        <f>E409/5*1.5</f>
        <v>165544.56</v>
      </c>
      <c r="G413" s="275">
        <f>$H$3</f>
        <v>0</v>
      </c>
      <c r="H413" s="275">
        <f>+G413*F413</f>
        <v>0</v>
      </c>
      <c r="I413" s="333"/>
      <c r="J413" s="333"/>
      <c r="K413" s="71"/>
      <c r="L413" s="163"/>
      <c r="M413" s="49"/>
      <c r="N413" s="86"/>
      <c r="O413" s="112">
        <f>H413</f>
        <v>0</v>
      </c>
      <c r="P413" s="86"/>
      <c r="Q413" s="87"/>
      <c r="R413" s="55"/>
      <c r="S413" s="185"/>
    </row>
    <row r="414" spans="2:19" s="5" customFormat="1">
      <c r="B414" s="294"/>
      <c r="C414" s="826"/>
      <c r="D414" s="119" t="s">
        <v>5</v>
      </c>
      <c r="E414" s="469" t="s">
        <v>35</v>
      </c>
      <c r="F414" s="331">
        <f>E409/5*2</f>
        <v>220726.08</v>
      </c>
      <c r="G414" s="275">
        <f>$H$4</f>
        <v>0</v>
      </c>
      <c r="H414" s="275">
        <f>+G414*F414</f>
        <v>0</v>
      </c>
      <c r="I414" s="333"/>
      <c r="J414" s="333"/>
      <c r="K414" s="71"/>
      <c r="L414" s="163"/>
      <c r="M414" s="49"/>
      <c r="N414" s="86"/>
      <c r="O414" s="112">
        <f>H414</f>
        <v>0</v>
      </c>
      <c r="P414" s="86"/>
      <c r="Q414" s="87"/>
      <c r="R414" s="55"/>
      <c r="S414" s="185"/>
    </row>
    <row r="415" spans="2:19" s="5" customFormat="1">
      <c r="B415" s="294"/>
      <c r="C415" s="826"/>
      <c r="D415" s="119" t="s">
        <v>6</v>
      </c>
      <c r="E415" s="467" t="s">
        <v>33</v>
      </c>
      <c r="F415" s="331">
        <f>E409</f>
        <v>551815.19999999995</v>
      </c>
      <c r="G415" s="275">
        <v>0</v>
      </c>
      <c r="H415" s="275">
        <f>+G415*F415</f>
        <v>0</v>
      </c>
      <c r="I415" s="333"/>
      <c r="J415" s="333"/>
      <c r="K415" s="71"/>
      <c r="L415" s="163"/>
      <c r="M415" s="49"/>
      <c r="N415" s="86"/>
      <c r="O415" s="112"/>
      <c r="P415" s="86">
        <f>SUM(H415)</f>
        <v>0</v>
      </c>
      <c r="Q415" s="87"/>
      <c r="R415" s="55"/>
      <c r="S415" s="185"/>
    </row>
    <row r="416" spans="2:19" s="5" customFormat="1">
      <c r="B416" s="294"/>
      <c r="C416" s="826"/>
      <c r="D416" s="119" t="s">
        <v>36</v>
      </c>
      <c r="E416" s="469" t="s">
        <v>21</v>
      </c>
      <c r="F416" s="347">
        <f>G410+G411+G415</f>
        <v>7</v>
      </c>
      <c r="G416" s="336" t="s">
        <v>37</v>
      </c>
      <c r="H416" s="275">
        <f>SUM(H410:H415)</f>
        <v>5132508.4227272719</v>
      </c>
      <c r="I416" s="332"/>
      <c r="J416" s="333"/>
      <c r="K416" s="71"/>
      <c r="L416" s="163"/>
      <c r="M416" s="49"/>
      <c r="N416" s="114"/>
      <c r="O416" s="115"/>
      <c r="P416" s="112"/>
      <c r="Q416" s="87"/>
      <c r="R416" s="55"/>
      <c r="S416" s="185"/>
    </row>
    <row r="417" spans="2:19" s="5" customFormat="1">
      <c r="B417" s="294"/>
      <c r="C417" s="826"/>
      <c r="D417" s="131" t="s">
        <v>38</v>
      </c>
      <c r="E417" s="469" t="s">
        <v>21</v>
      </c>
      <c r="F417" s="331">
        <f>SUM(H410:H415)</f>
        <v>5132508.4227272719</v>
      </c>
      <c r="G417" s="337">
        <f>$G$21</f>
        <v>8.3299999999999999E-2</v>
      </c>
      <c r="H417" s="275">
        <f>+G417*F417</f>
        <v>427537.95161318174</v>
      </c>
      <c r="I417" s="338"/>
      <c r="J417" s="338"/>
      <c r="K417" s="71"/>
      <c r="L417" s="163"/>
      <c r="M417" s="49"/>
      <c r="N417" s="86"/>
      <c r="O417" s="117"/>
      <c r="P417" s="97">
        <f>H417</f>
        <v>427537.95161318174</v>
      </c>
      <c r="Q417" s="105"/>
      <c r="R417" s="55"/>
      <c r="S417" s="185"/>
    </row>
    <row r="418" spans="2:19" s="5" customFormat="1">
      <c r="B418" s="294"/>
      <c r="C418" s="826"/>
      <c r="D418" s="131" t="s">
        <v>39</v>
      </c>
      <c r="E418" s="470">
        <f>F417/(5*F416)</f>
        <v>146643.09779220776</v>
      </c>
      <c r="F418" s="331">
        <f>E418*(F416*7)</f>
        <v>7185511.7918181801</v>
      </c>
      <c r="G418" s="339">
        <f>$G$22</f>
        <v>20</v>
      </c>
      <c r="H418" s="275">
        <f>F418/G418</f>
        <v>359275.58959090902</v>
      </c>
      <c r="I418" s="340">
        <v>0</v>
      </c>
      <c r="J418" s="340"/>
      <c r="K418" s="71">
        <f>SUM(G410:G418)</f>
        <v>33.083300000000001</v>
      </c>
      <c r="L418" s="163"/>
      <c r="M418" s="49"/>
      <c r="N418" s="86"/>
      <c r="O418" s="117"/>
      <c r="P418" s="97">
        <f>H418</f>
        <v>359275.58959090902</v>
      </c>
      <c r="Q418" s="105"/>
      <c r="R418" s="55"/>
      <c r="S418" s="185"/>
    </row>
    <row r="419" spans="2:19" s="5" customFormat="1">
      <c r="B419" s="297"/>
      <c r="C419" s="826"/>
      <c r="D419" s="131" t="s">
        <v>354</v>
      </c>
      <c r="E419" s="470">
        <v>8.3333333333333329E-2</v>
      </c>
      <c r="F419" s="331">
        <f>H418</f>
        <v>359275.58959090902</v>
      </c>
      <c r="G419" s="439">
        <v>1</v>
      </c>
      <c r="H419" s="275">
        <f>F419*E419</f>
        <v>29939.632465909082</v>
      </c>
      <c r="I419" s="340">
        <v>0</v>
      </c>
      <c r="J419" s="340">
        <f>SUM(H416:H419)</f>
        <v>5949261.5963972723</v>
      </c>
      <c r="K419" s="71">
        <f>SUM(G411:G419)</f>
        <v>33.083300000000001</v>
      </c>
      <c r="L419" s="163"/>
      <c r="M419" s="49"/>
      <c r="N419" s="86"/>
      <c r="O419" s="117"/>
      <c r="P419" s="97">
        <f>H419</f>
        <v>29939.632465909082</v>
      </c>
      <c r="Q419" s="105"/>
      <c r="R419" s="55"/>
      <c r="S419" s="185"/>
    </row>
    <row r="420" spans="2:19" s="5" customFormat="1">
      <c r="B420" s="294"/>
      <c r="C420" s="826"/>
      <c r="D420" s="119"/>
      <c r="E420" s="472"/>
      <c r="F420" s="341"/>
      <c r="G420" s="342"/>
      <c r="H420" s="343"/>
      <c r="I420" s="333"/>
      <c r="J420" s="333"/>
      <c r="K420" s="71"/>
      <c r="L420" s="163"/>
      <c r="M420" s="49"/>
      <c r="N420" s="103"/>
      <c r="O420" s="104"/>
      <c r="P420" s="104"/>
      <c r="Q420" s="105"/>
      <c r="R420" s="55"/>
      <c r="S420" s="185"/>
    </row>
    <row r="421" spans="2:19" s="5" customFormat="1" ht="15" customHeight="1">
      <c r="B421" s="398">
        <v>36</v>
      </c>
      <c r="C421" s="1006">
        <v>1</v>
      </c>
      <c r="D421" s="182" t="s">
        <v>72</v>
      </c>
      <c r="E421" s="467">
        <f>'SICA a Marzo2026'!E39</f>
        <v>446644.8</v>
      </c>
      <c r="F421" s="341"/>
      <c r="G421" s="344"/>
      <c r="H421" s="345"/>
      <c r="I421" s="346"/>
      <c r="J421" s="346"/>
      <c r="K421" s="71"/>
      <c r="L421" s="163"/>
      <c r="M421" s="16"/>
      <c r="N421" s="103"/>
      <c r="O421" s="104"/>
      <c r="P421" s="104"/>
      <c r="Q421" s="105"/>
      <c r="R421" s="22"/>
      <c r="S421" s="185"/>
    </row>
    <row r="422" spans="2:19" s="5" customFormat="1">
      <c r="B422" s="294"/>
      <c r="C422" s="826"/>
      <c r="D422" s="119" t="s">
        <v>0</v>
      </c>
      <c r="E422" s="467" t="s">
        <v>33</v>
      </c>
      <c r="F422" s="331">
        <f>E421</f>
        <v>446644.8</v>
      </c>
      <c r="G422" s="275">
        <v>1</v>
      </c>
      <c r="H422" s="275">
        <f>+G422*F422</f>
        <v>446644.8</v>
      </c>
      <c r="I422" s="333"/>
      <c r="J422" s="333"/>
      <c r="K422" s="71"/>
      <c r="L422" s="163"/>
      <c r="M422" s="49"/>
      <c r="N422" s="86">
        <f>H422</f>
        <v>446644.8</v>
      </c>
      <c r="O422" s="112"/>
      <c r="P422" s="86"/>
      <c r="Q422" s="87"/>
      <c r="R422" s="55"/>
      <c r="S422" s="185"/>
    </row>
    <row r="423" spans="2:19" s="5" customFormat="1">
      <c r="B423" s="294"/>
      <c r="C423" s="826"/>
      <c r="D423" s="119" t="s">
        <v>4</v>
      </c>
      <c r="E423" s="467" t="s">
        <v>33</v>
      </c>
      <c r="F423" s="331">
        <f>E421</f>
        <v>446644.8</v>
      </c>
      <c r="G423" s="275">
        <f>$F$4</f>
        <v>6</v>
      </c>
      <c r="H423" s="275">
        <f>+G423*F423</f>
        <v>2679868.7999999998</v>
      </c>
      <c r="I423" s="333"/>
      <c r="J423" s="333"/>
      <c r="K423" s="71"/>
      <c r="L423" s="163"/>
      <c r="M423" s="49"/>
      <c r="N423" s="86"/>
      <c r="O423" s="112">
        <f>H423</f>
        <v>2679868.7999999998</v>
      </c>
      <c r="P423" s="86"/>
      <c r="Q423" s="87"/>
      <c r="R423" s="55"/>
      <c r="S423" s="185"/>
    </row>
    <row r="424" spans="2:19" s="5" customFormat="1">
      <c r="B424" s="294"/>
      <c r="C424" s="826"/>
      <c r="D424" s="119" t="s">
        <v>34</v>
      </c>
      <c r="E424" s="468">
        <f>$H$5</f>
        <v>11.25</v>
      </c>
      <c r="F424" s="331">
        <f>E421/44*1.5</f>
        <v>15226.527272727271</v>
      </c>
      <c r="G424" s="334">
        <f>$F$4</f>
        <v>6</v>
      </c>
      <c r="H424" s="275">
        <f>+G424*F424*E424</f>
        <v>1027790.5909090909</v>
      </c>
      <c r="I424" s="333"/>
      <c r="J424" s="333"/>
      <c r="K424" s="71"/>
      <c r="L424" s="163"/>
      <c r="M424" s="49"/>
      <c r="N424" s="86"/>
      <c r="O424" s="112">
        <f>H424</f>
        <v>1027790.5909090909</v>
      </c>
      <c r="P424" s="86"/>
      <c r="Q424" s="87"/>
      <c r="R424" s="55"/>
      <c r="S424" s="185"/>
    </row>
    <row r="425" spans="2:19" s="5" customFormat="1">
      <c r="B425" s="294"/>
      <c r="C425" s="826"/>
      <c r="D425" s="119" t="s">
        <v>1</v>
      </c>
      <c r="E425" s="469" t="s">
        <v>35</v>
      </c>
      <c r="F425" s="331">
        <f>E421/5*1.5</f>
        <v>133993.44</v>
      </c>
      <c r="G425" s="275">
        <f>$H$3</f>
        <v>0</v>
      </c>
      <c r="H425" s="275">
        <f>+G425*F425</f>
        <v>0</v>
      </c>
      <c r="I425" s="333"/>
      <c r="J425" s="333"/>
      <c r="K425" s="71"/>
      <c r="L425" s="163"/>
      <c r="M425" s="49"/>
      <c r="N425" s="86"/>
      <c r="O425" s="112">
        <f>H425</f>
        <v>0</v>
      </c>
      <c r="P425" s="86"/>
      <c r="Q425" s="87"/>
      <c r="R425" s="55"/>
      <c r="S425" s="185"/>
    </row>
    <row r="426" spans="2:19" s="5" customFormat="1">
      <c r="B426" s="294"/>
      <c r="C426" s="826"/>
      <c r="D426" s="119" t="s">
        <v>5</v>
      </c>
      <c r="E426" s="469" t="s">
        <v>35</v>
      </c>
      <c r="F426" s="331">
        <f>E421/5*2</f>
        <v>178657.91999999998</v>
      </c>
      <c r="G426" s="275">
        <f>$H$4</f>
        <v>0</v>
      </c>
      <c r="H426" s="275">
        <f>+G426*F426</f>
        <v>0</v>
      </c>
      <c r="I426" s="333"/>
      <c r="J426" s="333"/>
      <c r="K426" s="71"/>
      <c r="L426" s="163"/>
      <c r="M426" s="49"/>
      <c r="N426" s="86"/>
      <c r="O426" s="112">
        <f>H426</f>
        <v>0</v>
      </c>
      <c r="P426" s="86"/>
      <c r="Q426" s="87"/>
      <c r="R426" s="55"/>
      <c r="S426" s="185"/>
    </row>
    <row r="427" spans="2:19" s="5" customFormat="1">
      <c r="B427" s="294"/>
      <c r="C427" s="826"/>
      <c r="D427" s="119" t="s">
        <v>6</v>
      </c>
      <c r="E427" s="467" t="s">
        <v>33</v>
      </c>
      <c r="F427" s="331">
        <f>E421</f>
        <v>446644.8</v>
      </c>
      <c r="G427" s="276">
        <v>0.6</v>
      </c>
      <c r="H427" s="275">
        <f>+G427*F427</f>
        <v>267986.88</v>
      </c>
      <c r="I427" s="333"/>
      <c r="J427" s="333"/>
      <c r="K427" s="71"/>
      <c r="L427" s="163"/>
      <c r="M427" s="49"/>
      <c r="N427" s="86"/>
      <c r="O427" s="112"/>
      <c r="P427" s="86">
        <f>SUM(H427)</f>
        <v>267986.88</v>
      </c>
      <c r="Q427" s="87"/>
      <c r="R427" s="55"/>
      <c r="S427" s="185"/>
    </row>
    <row r="428" spans="2:19" s="5" customFormat="1">
      <c r="B428" s="294"/>
      <c r="C428" s="826"/>
      <c r="D428" s="119" t="s">
        <v>36</v>
      </c>
      <c r="E428" s="469" t="s">
        <v>21</v>
      </c>
      <c r="F428" s="347">
        <f>G422+G423+G427</f>
        <v>7.6</v>
      </c>
      <c r="G428" s="336" t="s">
        <v>37</v>
      </c>
      <c r="H428" s="275">
        <f>SUM(H422:H427)</f>
        <v>4422291.0709090903</v>
      </c>
      <c r="I428" s="332"/>
      <c r="J428" s="333"/>
      <c r="K428" s="71"/>
      <c r="L428" s="163"/>
      <c r="M428" s="49"/>
      <c r="N428" s="114"/>
      <c r="O428" s="115"/>
      <c r="P428" s="112"/>
      <c r="Q428" s="87"/>
      <c r="R428" s="55"/>
      <c r="S428" s="185"/>
    </row>
    <row r="429" spans="2:19" s="5" customFormat="1">
      <c r="B429" s="294"/>
      <c r="C429" s="826"/>
      <c r="D429" s="131" t="s">
        <v>38</v>
      </c>
      <c r="E429" s="469" t="s">
        <v>21</v>
      </c>
      <c r="F429" s="331">
        <f>SUM(H422:H427)</f>
        <v>4422291.0709090903</v>
      </c>
      <c r="G429" s="337">
        <f>$G$21</f>
        <v>8.3299999999999999E-2</v>
      </c>
      <c r="H429" s="275">
        <f>+G429*F429</f>
        <v>368376.8462067272</v>
      </c>
      <c r="I429" s="338"/>
      <c r="J429" s="338"/>
      <c r="K429" s="71"/>
      <c r="L429" s="163"/>
      <c r="M429" s="49"/>
      <c r="N429" s="86"/>
      <c r="O429" s="117"/>
      <c r="P429" s="97">
        <f>H429</f>
        <v>368376.8462067272</v>
      </c>
      <c r="Q429" s="105"/>
      <c r="R429" s="55"/>
      <c r="S429" s="185"/>
    </row>
    <row r="430" spans="2:19" s="5" customFormat="1">
      <c r="B430" s="294"/>
      <c r="C430" s="826"/>
      <c r="D430" s="131" t="s">
        <v>39</v>
      </c>
      <c r="E430" s="470">
        <f>F429/(5*F428)</f>
        <v>116376.08081339711</v>
      </c>
      <c r="F430" s="331">
        <f>E430*(F428*7)</f>
        <v>6191207.4992727265</v>
      </c>
      <c r="G430" s="339">
        <f>$G$22</f>
        <v>20</v>
      </c>
      <c r="H430" s="275">
        <f>F430/G430</f>
        <v>309560.37496363634</v>
      </c>
      <c r="I430" s="340">
        <v>0</v>
      </c>
      <c r="J430" s="340"/>
      <c r="K430" s="71">
        <f>SUM(G422:G430)</f>
        <v>33.683300000000003</v>
      </c>
      <c r="L430" s="163"/>
      <c r="M430" s="49"/>
      <c r="N430" s="86"/>
      <c r="O430" s="117"/>
      <c r="P430" s="97">
        <f>H430</f>
        <v>309560.37496363634</v>
      </c>
      <c r="Q430" s="105"/>
      <c r="R430" s="55"/>
      <c r="S430" s="185"/>
    </row>
    <row r="431" spans="2:19" s="5" customFormat="1">
      <c r="B431" s="297"/>
      <c r="C431" s="826"/>
      <c r="D431" s="131" t="s">
        <v>354</v>
      </c>
      <c r="E431" s="470">
        <v>8.3333333333333329E-2</v>
      </c>
      <c r="F431" s="331">
        <f>H430</f>
        <v>309560.37496363634</v>
      </c>
      <c r="G431" s="439">
        <v>1</v>
      </c>
      <c r="H431" s="275">
        <f>F431*E431</f>
        <v>25796.697913636359</v>
      </c>
      <c r="I431" s="340">
        <v>0</v>
      </c>
      <c r="J431" s="340">
        <f>SUM(H428:H431)</f>
        <v>5126024.9899930907</v>
      </c>
      <c r="K431" s="71">
        <f>SUM(G423:G431)</f>
        <v>33.683300000000003</v>
      </c>
      <c r="L431" s="163"/>
      <c r="M431" s="49"/>
      <c r="N431" s="86"/>
      <c r="O431" s="117"/>
      <c r="P431" s="97">
        <f>H431</f>
        <v>25796.697913636359</v>
      </c>
      <c r="Q431" s="105"/>
      <c r="R431" s="55"/>
      <c r="S431" s="185"/>
    </row>
    <row r="432" spans="2:19" s="5" customFormat="1">
      <c r="B432" s="294"/>
      <c r="C432" s="826"/>
      <c r="D432" s="119"/>
      <c r="E432" s="472"/>
      <c r="F432" s="341"/>
      <c r="G432" s="342"/>
      <c r="H432" s="343"/>
      <c r="I432" s="333"/>
      <c r="J432" s="333"/>
      <c r="K432" s="71"/>
      <c r="L432" s="163"/>
      <c r="M432" s="49"/>
      <c r="N432" s="103"/>
      <c r="O432" s="104"/>
      <c r="P432" s="104"/>
      <c r="Q432" s="105"/>
      <c r="R432" s="55"/>
      <c r="S432" s="185"/>
    </row>
    <row r="433" spans="2:19" s="318" customFormat="1" ht="15" customHeight="1">
      <c r="B433" s="398">
        <v>37</v>
      </c>
      <c r="C433" s="1006">
        <v>1</v>
      </c>
      <c r="D433" s="122" t="s">
        <v>73</v>
      </c>
      <c r="E433" s="466">
        <v>43842</v>
      </c>
      <c r="F433" s="100"/>
      <c r="G433" s="100"/>
      <c r="H433" s="345"/>
      <c r="I433" s="346"/>
      <c r="J433" s="346"/>
      <c r="K433" s="310"/>
      <c r="L433" s="311"/>
      <c r="M433" s="312"/>
      <c r="N433" s="313"/>
      <c r="O433" s="314"/>
      <c r="P433" s="314"/>
      <c r="Q433" s="315"/>
      <c r="R433" s="316"/>
      <c r="S433" s="317"/>
    </row>
    <row r="434" spans="2:19" s="318" customFormat="1">
      <c r="B434" s="294"/>
      <c r="C434" s="826"/>
      <c r="D434" s="119" t="s">
        <v>0</v>
      </c>
      <c r="E434" s="466" t="s">
        <v>33</v>
      </c>
      <c r="F434" s="111">
        <f>E433</f>
        <v>43842</v>
      </c>
      <c r="G434" s="86">
        <v>1</v>
      </c>
      <c r="H434" s="275">
        <f>+G434*F434</f>
        <v>43842</v>
      </c>
      <c r="I434" s="333"/>
      <c r="J434" s="333"/>
      <c r="K434" s="310"/>
      <c r="L434" s="311"/>
      <c r="M434" s="320"/>
      <c r="N434" s="319">
        <f>H434</f>
        <v>43842</v>
      </c>
      <c r="O434" s="321"/>
      <c r="P434" s="319"/>
      <c r="Q434" s="322"/>
      <c r="R434" s="323"/>
      <c r="S434" s="317"/>
    </row>
    <row r="435" spans="2:19" s="318" customFormat="1">
      <c r="B435" s="294"/>
      <c r="C435" s="826"/>
      <c r="D435" s="119" t="s">
        <v>4</v>
      </c>
      <c r="E435" s="466" t="s">
        <v>33</v>
      </c>
      <c r="F435" s="111">
        <f>E433</f>
        <v>43842</v>
      </c>
      <c r="G435" s="86">
        <f>$F$4</f>
        <v>6</v>
      </c>
      <c r="H435" s="275">
        <f>+G435*F435</f>
        <v>263052</v>
      </c>
      <c r="I435" s="333"/>
      <c r="J435" s="333"/>
      <c r="K435" s="310"/>
      <c r="L435" s="311"/>
      <c r="M435" s="320"/>
      <c r="N435" s="319"/>
      <c r="O435" s="321">
        <f>H435</f>
        <v>263052</v>
      </c>
      <c r="P435" s="319"/>
      <c r="Q435" s="322"/>
      <c r="R435" s="323"/>
      <c r="S435" s="317"/>
    </row>
    <row r="436" spans="2:19" s="318" customFormat="1">
      <c r="B436" s="294"/>
      <c r="C436" s="826"/>
      <c r="D436" s="119" t="s">
        <v>34</v>
      </c>
      <c r="E436" s="476">
        <f>$H$5</f>
        <v>11.25</v>
      </c>
      <c r="F436" s="111">
        <f>E433/44*1.5</f>
        <v>1494.6136363636363</v>
      </c>
      <c r="G436" s="113">
        <f>$F$4</f>
        <v>6</v>
      </c>
      <c r="H436" s="275">
        <f>+G436*F436*E436</f>
        <v>100886.42045454546</v>
      </c>
      <c r="I436" s="333"/>
      <c r="J436" s="333"/>
      <c r="K436" s="310"/>
      <c r="L436" s="311"/>
      <c r="M436" s="320"/>
      <c r="N436" s="319"/>
      <c r="O436" s="321">
        <f>H436</f>
        <v>100886.42045454546</v>
      </c>
      <c r="P436" s="319"/>
      <c r="Q436" s="322"/>
      <c r="R436" s="323"/>
      <c r="S436" s="317"/>
    </row>
    <row r="437" spans="2:19" s="318" customFormat="1">
      <c r="B437" s="294"/>
      <c r="C437" s="826"/>
      <c r="D437" s="119" t="s">
        <v>1</v>
      </c>
      <c r="E437" s="477" t="s">
        <v>35</v>
      </c>
      <c r="F437" s="111">
        <f>E433/5*1.5</f>
        <v>13152.599999999999</v>
      </c>
      <c r="G437" s="86">
        <f>$H$3</f>
        <v>0</v>
      </c>
      <c r="H437" s="275">
        <f>+G437*F437</f>
        <v>0</v>
      </c>
      <c r="I437" s="333"/>
      <c r="J437" s="333"/>
      <c r="K437" s="310"/>
      <c r="L437" s="311"/>
      <c r="M437" s="320"/>
      <c r="N437" s="319"/>
      <c r="O437" s="321">
        <f>H437</f>
        <v>0</v>
      </c>
      <c r="P437" s="319"/>
      <c r="Q437" s="322"/>
      <c r="R437" s="323"/>
      <c r="S437" s="317"/>
    </row>
    <row r="438" spans="2:19" s="318" customFormat="1">
      <c r="B438" s="294"/>
      <c r="C438" s="826"/>
      <c r="D438" s="119" t="s">
        <v>5</v>
      </c>
      <c r="E438" s="477" t="s">
        <v>35</v>
      </c>
      <c r="F438" s="111">
        <f>E433/5*2</f>
        <v>17536.8</v>
      </c>
      <c r="G438" s="86">
        <f>$H$4</f>
        <v>0</v>
      </c>
      <c r="H438" s="275">
        <f>+G438*F438</f>
        <v>0</v>
      </c>
      <c r="I438" s="333"/>
      <c r="J438" s="333"/>
      <c r="K438" s="310"/>
      <c r="L438" s="311"/>
      <c r="M438" s="320"/>
      <c r="N438" s="319"/>
      <c r="O438" s="321">
        <f>H438</f>
        <v>0</v>
      </c>
      <c r="P438" s="319"/>
      <c r="Q438" s="322"/>
      <c r="R438" s="323"/>
      <c r="S438" s="317"/>
    </row>
    <row r="439" spans="2:19" s="318" customFormat="1">
      <c r="B439" s="294"/>
      <c r="C439" s="826"/>
      <c r="D439" s="119" t="s">
        <v>6</v>
      </c>
      <c r="E439" s="466" t="s">
        <v>33</v>
      </c>
      <c r="F439" s="111">
        <f>E433</f>
        <v>43842</v>
      </c>
      <c r="G439" s="120">
        <v>0.6</v>
      </c>
      <c r="H439" s="275">
        <f>+G439*F439</f>
        <v>26305.200000000001</v>
      </c>
      <c r="I439" s="333"/>
      <c r="J439" s="333"/>
      <c r="K439" s="310"/>
      <c r="L439" s="311"/>
      <c r="M439" s="320"/>
      <c r="N439" s="319"/>
      <c r="O439" s="321"/>
      <c r="P439" s="319">
        <f>SUM(H439)</f>
        <v>26305.200000000001</v>
      </c>
      <c r="Q439" s="322"/>
      <c r="R439" s="323"/>
      <c r="S439" s="317"/>
    </row>
    <row r="440" spans="2:19" s="318" customFormat="1">
      <c r="B440" s="294"/>
      <c r="C440" s="826"/>
      <c r="D440" s="119" t="s">
        <v>36</v>
      </c>
      <c r="E440" s="477" t="s">
        <v>21</v>
      </c>
      <c r="F440" s="86">
        <f>G434+G435+G439</f>
        <v>7.6</v>
      </c>
      <c r="G440" s="90" t="s">
        <v>37</v>
      </c>
      <c r="H440" s="275">
        <f>SUM(H434:H439)</f>
        <v>434085.62045454548</v>
      </c>
      <c r="I440" s="332"/>
      <c r="J440" s="333"/>
      <c r="K440" s="310"/>
      <c r="L440" s="311"/>
      <c r="M440" s="320"/>
      <c r="N440" s="324"/>
      <c r="O440" s="325"/>
      <c r="P440" s="321"/>
      <c r="Q440" s="322"/>
      <c r="R440" s="323"/>
      <c r="S440" s="317"/>
    </row>
    <row r="441" spans="2:19" s="318" customFormat="1">
      <c r="B441" s="294"/>
      <c r="C441" s="826"/>
      <c r="D441" s="131" t="s">
        <v>38</v>
      </c>
      <c r="E441" s="477" t="s">
        <v>21</v>
      </c>
      <c r="F441" s="111">
        <f>SUM(H434:H439)</f>
        <v>434085.62045454548</v>
      </c>
      <c r="G441" s="116">
        <f>$G$21</f>
        <v>8.3299999999999999E-2</v>
      </c>
      <c r="H441" s="275">
        <f>+G441*F441</f>
        <v>36159.33218386364</v>
      </c>
      <c r="I441" s="338"/>
      <c r="J441" s="338"/>
      <c r="K441" s="310"/>
      <c r="L441" s="311"/>
      <c r="M441" s="320"/>
      <c r="N441" s="319"/>
      <c r="O441" s="326"/>
      <c r="P441" s="327">
        <f>H441</f>
        <v>36159.33218386364</v>
      </c>
      <c r="Q441" s="315"/>
      <c r="R441" s="323"/>
      <c r="S441" s="317"/>
    </row>
    <row r="442" spans="2:19" s="318" customFormat="1">
      <c r="B442" s="294"/>
      <c r="C442" s="826"/>
      <c r="D442" s="131" t="s">
        <v>231</v>
      </c>
      <c r="E442" s="478">
        <f>F441/(5*F440)</f>
        <v>11423.305801435408</v>
      </c>
      <c r="F442" s="111">
        <f>E442*(F440*7)</f>
        <v>607719.86863636365</v>
      </c>
      <c r="G442" s="118">
        <f>$G$22</f>
        <v>20</v>
      </c>
      <c r="H442" s="275">
        <f>F442/G442</f>
        <v>30385.993431818184</v>
      </c>
      <c r="I442" s="340">
        <v>0</v>
      </c>
      <c r="J442" s="340"/>
      <c r="K442" s="310">
        <f>SUM(G434:G442)</f>
        <v>33.683300000000003</v>
      </c>
      <c r="L442" s="311"/>
      <c r="M442" s="320"/>
      <c r="N442" s="319"/>
      <c r="O442" s="326"/>
      <c r="P442" s="327">
        <f>H442</f>
        <v>30385.993431818184</v>
      </c>
      <c r="Q442" s="315"/>
      <c r="R442" s="323"/>
      <c r="S442" s="317"/>
    </row>
    <row r="443" spans="2:19" s="5" customFormat="1">
      <c r="B443" s="297"/>
      <c r="C443" s="826"/>
      <c r="D443" s="131" t="s">
        <v>354</v>
      </c>
      <c r="E443" s="470">
        <v>8.3333333333333329E-2</v>
      </c>
      <c r="F443" s="331">
        <f>H442</f>
        <v>30385.993431818184</v>
      </c>
      <c r="G443" s="439">
        <v>1</v>
      </c>
      <c r="H443" s="275">
        <f>F443*E443</f>
        <v>2532.1661193181817</v>
      </c>
      <c r="I443" s="340">
        <v>0</v>
      </c>
      <c r="J443" s="340">
        <f>SUM(H440:H443)</f>
        <v>503163.11218954547</v>
      </c>
      <c r="K443" s="71">
        <f>SUM(G435:G443)</f>
        <v>33.683300000000003</v>
      </c>
      <c r="L443" s="163"/>
      <c r="M443" s="49"/>
      <c r="N443" s="86"/>
      <c r="O443" s="117"/>
      <c r="P443" s="97">
        <f>H443</f>
        <v>2532.1661193181817</v>
      </c>
      <c r="Q443" s="105"/>
      <c r="R443" s="55"/>
      <c r="S443" s="185"/>
    </row>
    <row r="444" spans="2:19" s="306" customFormat="1">
      <c r="B444" s="294"/>
      <c r="C444" s="826"/>
      <c r="D444" s="309"/>
      <c r="E444" s="472"/>
      <c r="F444" s="341"/>
      <c r="G444" s="342"/>
      <c r="H444" s="343"/>
      <c r="I444" s="333"/>
      <c r="J444" s="333"/>
      <c r="K444" s="300"/>
      <c r="L444" s="301"/>
      <c r="M444" s="307"/>
      <c r="N444" s="302"/>
      <c r="O444" s="303"/>
      <c r="P444" s="303"/>
      <c r="Q444" s="304"/>
      <c r="R444" s="308"/>
      <c r="S444" s="305"/>
    </row>
    <row r="445" spans="2:19" s="5" customFormat="1" ht="15" customHeight="1">
      <c r="B445" s="398">
        <v>38</v>
      </c>
      <c r="C445" s="1006">
        <v>1</v>
      </c>
      <c r="D445" s="122" t="s">
        <v>74</v>
      </c>
      <c r="E445" s="467">
        <f>'SICA a Marzo2026'!E41</f>
        <v>604155.24</v>
      </c>
      <c r="F445" s="341"/>
      <c r="G445" s="344"/>
      <c r="H445" s="345"/>
      <c r="I445" s="346"/>
      <c r="J445" s="346"/>
      <c r="K445" s="71"/>
      <c r="L445" s="163"/>
      <c r="M445" s="16"/>
      <c r="N445" s="103"/>
      <c r="O445" s="104"/>
      <c r="P445" s="104"/>
      <c r="Q445" s="105"/>
      <c r="R445" s="22"/>
      <c r="S445" s="185"/>
    </row>
    <row r="446" spans="2:19" s="5" customFormat="1">
      <c r="B446" s="294"/>
      <c r="C446" s="826"/>
      <c r="D446" s="119" t="s">
        <v>0</v>
      </c>
      <c r="E446" s="467" t="s">
        <v>33</v>
      </c>
      <c r="F446" s="331">
        <f>E445</f>
        <v>604155.24</v>
      </c>
      <c r="G446" s="275">
        <v>1</v>
      </c>
      <c r="H446" s="275">
        <f>+G446*F446</f>
        <v>604155.24</v>
      </c>
      <c r="I446" s="333"/>
      <c r="J446" s="333"/>
      <c r="K446" s="71"/>
      <c r="L446" s="163"/>
      <c r="M446" s="49"/>
      <c r="N446" s="86">
        <f>H446</f>
        <v>604155.24</v>
      </c>
      <c r="O446" s="112"/>
      <c r="P446" s="86"/>
      <c r="Q446" s="87"/>
      <c r="R446" s="55"/>
      <c r="S446" s="185"/>
    </row>
    <row r="447" spans="2:19" s="5" customFormat="1">
      <c r="B447" s="294"/>
      <c r="C447" s="826"/>
      <c r="D447" s="119" t="s">
        <v>4</v>
      </c>
      <c r="E447" s="467" t="s">
        <v>33</v>
      </c>
      <c r="F447" s="331">
        <f>E445</f>
        <v>604155.24</v>
      </c>
      <c r="G447" s="275">
        <f>$F$4</f>
        <v>6</v>
      </c>
      <c r="H447" s="275">
        <f>+G447*F447</f>
        <v>3624931.44</v>
      </c>
      <c r="I447" s="333"/>
      <c r="J447" s="333"/>
      <c r="K447" s="71"/>
      <c r="L447" s="163"/>
      <c r="M447" s="49"/>
      <c r="N447" s="86"/>
      <c r="O447" s="112">
        <f>H447</f>
        <v>3624931.44</v>
      </c>
      <c r="P447" s="86"/>
      <c r="Q447" s="87"/>
      <c r="R447" s="55"/>
      <c r="S447" s="185"/>
    </row>
    <row r="448" spans="2:19" s="5" customFormat="1">
      <c r="B448" s="294"/>
      <c r="C448" s="826"/>
      <c r="D448" s="119" t="s">
        <v>34</v>
      </c>
      <c r="E448" s="468">
        <f>$H$5+2</f>
        <v>13.25</v>
      </c>
      <c r="F448" s="331">
        <f>E445/44*1.5</f>
        <v>20596.201363636363</v>
      </c>
      <c r="G448" s="334">
        <f>$F$4</f>
        <v>6</v>
      </c>
      <c r="H448" s="275">
        <f>+G448*F448*E448</f>
        <v>1637398.0084090908</v>
      </c>
      <c r="I448" s="333"/>
      <c r="J448" s="333"/>
      <c r="K448" s="71"/>
      <c r="L448" s="163"/>
      <c r="M448" s="49"/>
      <c r="N448" s="86"/>
      <c r="O448" s="112">
        <f>H448</f>
        <v>1637398.0084090908</v>
      </c>
      <c r="P448" s="86"/>
      <c r="Q448" s="87"/>
      <c r="R448" s="55"/>
      <c r="S448" s="185"/>
    </row>
    <row r="449" spans="2:19" s="5" customFormat="1">
      <c r="B449" s="294"/>
      <c r="C449" s="826"/>
      <c r="D449" s="119" t="s">
        <v>1</v>
      </c>
      <c r="E449" s="469" t="s">
        <v>35</v>
      </c>
      <c r="F449" s="331">
        <f>E445/5*1.5</f>
        <v>181246.57199999999</v>
      </c>
      <c r="G449" s="275">
        <f>$H$3</f>
        <v>0</v>
      </c>
      <c r="H449" s="275">
        <f>+G449*F449</f>
        <v>0</v>
      </c>
      <c r="I449" s="333"/>
      <c r="J449" s="333"/>
      <c r="K449" s="71"/>
      <c r="L449" s="163"/>
      <c r="M449" s="49"/>
      <c r="N449" s="86"/>
      <c r="O449" s="112">
        <f>H449</f>
        <v>0</v>
      </c>
      <c r="P449" s="86"/>
      <c r="Q449" s="87"/>
      <c r="R449" s="55"/>
      <c r="S449" s="185"/>
    </row>
    <row r="450" spans="2:19" s="5" customFormat="1">
      <c r="B450" s="294"/>
      <c r="C450" s="826"/>
      <c r="D450" s="119" t="s">
        <v>5</v>
      </c>
      <c r="E450" s="469" t="s">
        <v>35</v>
      </c>
      <c r="F450" s="331">
        <f>E445/5*2</f>
        <v>241662.09599999999</v>
      </c>
      <c r="G450" s="275">
        <f>$H$4</f>
        <v>0</v>
      </c>
      <c r="H450" s="275">
        <f>+G450*F450</f>
        <v>0</v>
      </c>
      <c r="I450" s="333"/>
      <c r="J450" s="333"/>
      <c r="K450" s="71"/>
      <c r="L450" s="163"/>
      <c r="M450" s="49"/>
      <c r="N450" s="86"/>
      <c r="O450" s="112">
        <f>H450</f>
        <v>0</v>
      </c>
      <c r="P450" s="86"/>
      <c r="Q450" s="87"/>
      <c r="R450" s="55"/>
      <c r="S450" s="185"/>
    </row>
    <row r="451" spans="2:19" s="5" customFormat="1">
      <c r="B451" s="294"/>
      <c r="C451" s="826"/>
      <c r="D451" s="119" t="s">
        <v>6</v>
      </c>
      <c r="E451" s="467" t="s">
        <v>33</v>
      </c>
      <c r="F451" s="331">
        <f>E445</f>
        <v>604155.24</v>
      </c>
      <c r="G451" s="275">
        <f>$F$5-$F$5</f>
        <v>0</v>
      </c>
      <c r="H451" s="275">
        <f>+G451*F451</f>
        <v>0</v>
      </c>
      <c r="I451" s="333"/>
      <c r="J451" s="333"/>
      <c r="K451" s="71"/>
      <c r="L451" s="163"/>
      <c r="M451" s="49"/>
      <c r="N451" s="86"/>
      <c r="O451" s="112"/>
      <c r="P451" s="86">
        <f>SUM(H451)</f>
        <v>0</v>
      </c>
      <c r="Q451" s="87"/>
      <c r="R451" s="55"/>
      <c r="S451" s="185"/>
    </row>
    <row r="452" spans="2:19" s="5" customFormat="1">
      <c r="B452" s="294"/>
      <c r="C452" s="826"/>
      <c r="D452" s="119" t="s">
        <v>36</v>
      </c>
      <c r="E452" s="469" t="s">
        <v>21</v>
      </c>
      <c r="F452" s="347">
        <f>G446+G447+G451</f>
        <v>7</v>
      </c>
      <c r="G452" s="336" t="s">
        <v>37</v>
      </c>
      <c r="H452" s="275">
        <f>SUM(H446:H451)</f>
        <v>5866484.68840909</v>
      </c>
      <c r="I452" s="332"/>
      <c r="J452" s="333"/>
      <c r="K452" s="71"/>
      <c r="L452" s="163"/>
      <c r="M452" s="49"/>
      <c r="N452" s="114"/>
      <c r="O452" s="115"/>
      <c r="P452" s="112"/>
      <c r="Q452" s="87"/>
      <c r="R452" s="55"/>
      <c r="S452" s="185"/>
    </row>
    <row r="453" spans="2:19" s="5" customFormat="1">
      <c r="B453" s="294"/>
      <c r="C453" s="826"/>
      <c r="D453" s="131" t="s">
        <v>38</v>
      </c>
      <c r="E453" s="469" t="s">
        <v>21</v>
      </c>
      <c r="F453" s="331">
        <f>SUM(H446:H451)</f>
        <v>5866484.68840909</v>
      </c>
      <c r="G453" s="337">
        <f>$G$21</f>
        <v>8.3299999999999999E-2</v>
      </c>
      <c r="H453" s="275">
        <f>+G453*F453</f>
        <v>488678.1745444772</v>
      </c>
      <c r="I453" s="338"/>
      <c r="J453" s="338"/>
      <c r="K453" s="71"/>
      <c r="L453" s="163"/>
      <c r="M453" s="49"/>
      <c r="N453" s="86"/>
      <c r="O453" s="117"/>
      <c r="P453" s="97">
        <f>H453</f>
        <v>488678.1745444772</v>
      </c>
      <c r="Q453" s="105"/>
      <c r="R453" s="55"/>
      <c r="S453" s="185"/>
    </row>
    <row r="454" spans="2:19" s="5" customFormat="1">
      <c r="B454" s="294"/>
      <c r="C454" s="826"/>
      <c r="D454" s="131" t="s">
        <v>39</v>
      </c>
      <c r="E454" s="470">
        <f>F453/(5*F452)</f>
        <v>167613.84824025971</v>
      </c>
      <c r="F454" s="331">
        <f>E454*(F452*7)</f>
        <v>8213078.5637727259</v>
      </c>
      <c r="G454" s="339">
        <f>$G$22</f>
        <v>20</v>
      </c>
      <c r="H454" s="275">
        <f>F454/G454</f>
        <v>410653.92818863632</v>
      </c>
      <c r="I454" s="340">
        <v>0</v>
      </c>
      <c r="J454" s="340"/>
      <c r="K454" s="71">
        <f>SUM(G446:G454)</f>
        <v>33.083300000000001</v>
      </c>
      <c r="L454" s="163"/>
      <c r="M454" s="49"/>
      <c r="N454" s="86"/>
      <c r="O454" s="117"/>
      <c r="P454" s="97">
        <f>H454</f>
        <v>410653.92818863632</v>
      </c>
      <c r="Q454" s="105"/>
      <c r="R454" s="55"/>
      <c r="S454" s="185"/>
    </row>
    <row r="455" spans="2:19" s="5" customFormat="1">
      <c r="B455" s="297"/>
      <c r="C455" s="826"/>
      <c r="D455" s="131" t="s">
        <v>354</v>
      </c>
      <c r="E455" s="470">
        <v>8.3333333333333329E-2</v>
      </c>
      <c r="F455" s="331">
        <f>H454</f>
        <v>410653.92818863632</v>
      </c>
      <c r="G455" s="439">
        <v>1</v>
      </c>
      <c r="H455" s="275">
        <f>F455*E455</f>
        <v>34221.160682386355</v>
      </c>
      <c r="I455" s="340">
        <v>0</v>
      </c>
      <c r="J455" s="340">
        <f>SUM(H452:H455)</f>
        <v>6800037.9518245896</v>
      </c>
      <c r="K455" s="71">
        <f>SUM(G447:G455)</f>
        <v>33.083300000000001</v>
      </c>
      <c r="L455" s="163"/>
      <c r="M455" s="49"/>
      <c r="N455" s="86"/>
      <c r="O455" s="117"/>
      <c r="P455" s="97">
        <f>H455</f>
        <v>34221.160682386355</v>
      </c>
      <c r="Q455" s="105"/>
      <c r="R455" s="55"/>
      <c r="S455" s="185"/>
    </row>
    <row r="456" spans="2:19" s="5" customFormat="1">
      <c r="B456" s="294"/>
      <c r="C456" s="826"/>
      <c r="D456" s="119"/>
      <c r="E456" s="471"/>
      <c r="F456" s="341"/>
      <c r="G456" s="342"/>
      <c r="H456" s="343"/>
      <c r="I456" s="333"/>
      <c r="J456" s="333"/>
      <c r="K456" s="71"/>
      <c r="L456" s="163"/>
      <c r="M456" s="49"/>
      <c r="N456" s="103"/>
      <c r="O456" s="104"/>
      <c r="P456" s="104"/>
      <c r="Q456" s="105"/>
      <c r="R456" s="55"/>
      <c r="S456" s="185"/>
    </row>
    <row r="457" spans="2:19" s="5" customFormat="1" ht="15" customHeight="1">
      <c r="B457" s="398">
        <v>39</v>
      </c>
      <c r="C457" s="1006">
        <v>1</v>
      </c>
      <c r="D457" s="122" t="s">
        <v>75</v>
      </c>
      <c r="E457" s="467">
        <f>'SICA a Marzo2026'!E42</f>
        <v>525399.48</v>
      </c>
      <c r="F457" s="341"/>
      <c r="G457" s="344"/>
      <c r="H457" s="345"/>
      <c r="I457" s="346"/>
      <c r="J457" s="346"/>
      <c r="K457" s="71"/>
      <c r="L457" s="163"/>
      <c r="M457" s="16"/>
      <c r="N457" s="103"/>
      <c r="O457" s="104"/>
      <c r="P457" s="104"/>
      <c r="Q457" s="105"/>
      <c r="R457" s="22"/>
      <c r="S457" s="185"/>
    </row>
    <row r="458" spans="2:19" s="5" customFormat="1">
      <c r="B458" s="294"/>
      <c r="C458" s="826"/>
      <c r="D458" s="119" t="s">
        <v>0</v>
      </c>
      <c r="E458" s="467" t="s">
        <v>33</v>
      </c>
      <c r="F458" s="331">
        <f>E457</f>
        <v>525399.48</v>
      </c>
      <c r="G458" s="275">
        <v>1</v>
      </c>
      <c r="H458" s="275">
        <f>+G458*F458</f>
        <v>525399.48</v>
      </c>
      <c r="I458" s="333"/>
      <c r="J458" s="333"/>
      <c r="K458" s="71"/>
      <c r="L458" s="163"/>
      <c r="M458" s="49"/>
      <c r="N458" s="86">
        <f>H458</f>
        <v>525399.48</v>
      </c>
      <c r="O458" s="112"/>
      <c r="P458" s="86"/>
      <c r="Q458" s="87"/>
      <c r="R458" s="55"/>
      <c r="S458" s="185"/>
    </row>
    <row r="459" spans="2:19" s="5" customFormat="1">
      <c r="B459" s="294"/>
      <c r="C459" s="826"/>
      <c r="D459" s="119" t="s">
        <v>4</v>
      </c>
      <c r="E459" s="467" t="s">
        <v>33</v>
      </c>
      <c r="F459" s="331">
        <f>E457</f>
        <v>525399.48</v>
      </c>
      <c r="G459" s="275">
        <f>$F$4</f>
        <v>6</v>
      </c>
      <c r="H459" s="275">
        <f>+G459*F459</f>
        <v>3152396.88</v>
      </c>
      <c r="I459" s="333"/>
      <c r="J459" s="333"/>
      <c r="K459" s="71"/>
      <c r="L459" s="163"/>
      <c r="M459" s="49"/>
      <c r="N459" s="86"/>
      <c r="O459" s="112">
        <f>H459</f>
        <v>3152396.88</v>
      </c>
      <c r="P459" s="86"/>
      <c r="Q459" s="87"/>
      <c r="R459" s="55"/>
      <c r="S459" s="185"/>
    </row>
    <row r="460" spans="2:19" s="5" customFormat="1">
      <c r="B460" s="294"/>
      <c r="C460" s="826"/>
      <c r="D460" s="119" t="s">
        <v>34</v>
      </c>
      <c r="E460" s="468">
        <f>$H$5+2</f>
        <v>13.25</v>
      </c>
      <c r="F460" s="331">
        <f>E457/44*1.5</f>
        <v>17911.345909090909</v>
      </c>
      <c r="G460" s="334">
        <f>$F$4</f>
        <v>6</v>
      </c>
      <c r="H460" s="275">
        <f>+G460*F460*E460</f>
        <v>1423951.9997727273</v>
      </c>
      <c r="I460" s="333"/>
      <c r="J460" s="333"/>
      <c r="K460" s="71"/>
      <c r="L460" s="163"/>
      <c r="M460" s="49"/>
      <c r="N460" s="86"/>
      <c r="O460" s="112">
        <f>H460</f>
        <v>1423951.9997727273</v>
      </c>
      <c r="P460" s="86"/>
      <c r="Q460" s="87"/>
      <c r="R460" s="55"/>
      <c r="S460" s="185"/>
    </row>
    <row r="461" spans="2:19" s="5" customFormat="1">
      <c r="B461" s="294"/>
      <c r="C461" s="826"/>
      <c r="D461" s="119" t="s">
        <v>1</v>
      </c>
      <c r="E461" s="469" t="s">
        <v>35</v>
      </c>
      <c r="F461" s="331">
        <f>E457/5*1.5</f>
        <v>157619.84399999998</v>
      </c>
      <c r="G461" s="275">
        <f>$H$3</f>
        <v>0</v>
      </c>
      <c r="H461" s="275">
        <f>+G461*F461</f>
        <v>0</v>
      </c>
      <c r="I461" s="333"/>
      <c r="J461" s="333"/>
      <c r="K461" s="71"/>
      <c r="L461" s="163"/>
      <c r="M461" s="49"/>
      <c r="N461" s="86"/>
      <c r="O461" s="112">
        <f>H461</f>
        <v>0</v>
      </c>
      <c r="P461" s="86"/>
      <c r="Q461" s="87"/>
      <c r="R461" s="55"/>
      <c r="S461" s="185"/>
    </row>
    <row r="462" spans="2:19" s="5" customFormat="1">
      <c r="B462" s="294"/>
      <c r="C462" s="826"/>
      <c r="D462" s="119" t="s">
        <v>5</v>
      </c>
      <c r="E462" s="469" t="s">
        <v>35</v>
      </c>
      <c r="F462" s="331">
        <f>E457/5*2</f>
        <v>210159.79199999999</v>
      </c>
      <c r="G462" s="275">
        <f>$H$4</f>
        <v>0</v>
      </c>
      <c r="H462" s="275">
        <f>+G462*F462</f>
        <v>0</v>
      </c>
      <c r="I462" s="333"/>
      <c r="J462" s="333"/>
      <c r="K462" s="71"/>
      <c r="L462" s="163"/>
      <c r="M462" s="49"/>
      <c r="N462" s="86"/>
      <c r="O462" s="112">
        <f>H462</f>
        <v>0</v>
      </c>
      <c r="P462" s="86"/>
      <c r="Q462" s="87"/>
      <c r="R462" s="55"/>
      <c r="S462" s="185"/>
    </row>
    <row r="463" spans="2:19" s="5" customFormat="1">
      <c r="B463" s="294"/>
      <c r="C463" s="826"/>
      <c r="D463" s="119" t="s">
        <v>6</v>
      </c>
      <c r="E463" s="467" t="s">
        <v>33</v>
      </c>
      <c r="F463" s="331">
        <f>E457</f>
        <v>525399.48</v>
      </c>
      <c r="G463" s="275">
        <f>$F$5-$F$5</f>
        <v>0</v>
      </c>
      <c r="H463" s="275">
        <f>+G463*F463</f>
        <v>0</v>
      </c>
      <c r="I463" s="333"/>
      <c r="J463" s="333"/>
      <c r="K463" s="71"/>
      <c r="L463" s="163"/>
      <c r="M463" s="49"/>
      <c r="N463" s="86"/>
      <c r="O463" s="112"/>
      <c r="P463" s="86">
        <f>SUM(H463)</f>
        <v>0</v>
      </c>
      <c r="Q463" s="87"/>
      <c r="R463" s="55"/>
      <c r="S463" s="185"/>
    </row>
    <row r="464" spans="2:19" s="5" customFormat="1">
      <c r="B464" s="294"/>
      <c r="C464" s="826"/>
      <c r="D464" s="119" t="s">
        <v>36</v>
      </c>
      <c r="E464" s="469" t="s">
        <v>21</v>
      </c>
      <c r="F464" s="347">
        <f>G458+G459+G463</f>
        <v>7</v>
      </c>
      <c r="G464" s="336" t="s">
        <v>37</v>
      </c>
      <c r="H464" s="275">
        <f>SUM(H458:H463)</f>
        <v>5101748.3597727269</v>
      </c>
      <c r="I464" s="332"/>
      <c r="J464" s="333"/>
      <c r="K464" s="71"/>
      <c r="L464" s="163"/>
      <c r="M464" s="49"/>
      <c r="N464" s="114"/>
      <c r="O464" s="115"/>
      <c r="P464" s="112"/>
      <c r="Q464" s="87"/>
      <c r="R464" s="55"/>
      <c r="S464" s="185"/>
    </row>
    <row r="465" spans="2:19" s="5" customFormat="1">
      <c r="B465" s="294"/>
      <c r="C465" s="826"/>
      <c r="D465" s="131" t="s">
        <v>38</v>
      </c>
      <c r="E465" s="469" t="s">
        <v>21</v>
      </c>
      <c r="F465" s="331">
        <f>SUM(H458:H463)</f>
        <v>5101748.3597727269</v>
      </c>
      <c r="G465" s="337">
        <f>$G$21</f>
        <v>8.3299999999999999E-2</v>
      </c>
      <c r="H465" s="275">
        <f>+G465*F465</f>
        <v>424975.63836906815</v>
      </c>
      <c r="I465" s="338"/>
      <c r="J465" s="338"/>
      <c r="K465" s="71"/>
      <c r="L465" s="163"/>
      <c r="M465" s="49"/>
      <c r="N465" s="86"/>
      <c r="O465" s="117"/>
      <c r="P465" s="97">
        <f>H465</f>
        <v>424975.63836906815</v>
      </c>
      <c r="Q465" s="105"/>
      <c r="R465" s="55"/>
      <c r="S465" s="185"/>
    </row>
    <row r="466" spans="2:19" s="5" customFormat="1">
      <c r="B466" s="294"/>
      <c r="C466" s="826"/>
      <c r="D466" s="131" t="s">
        <v>39</v>
      </c>
      <c r="E466" s="470">
        <f>F465/(5*F464)</f>
        <v>145764.23885064933</v>
      </c>
      <c r="F466" s="331">
        <f>E466*(F464*7)</f>
        <v>7142447.7036818173</v>
      </c>
      <c r="G466" s="339">
        <f>$G$22</f>
        <v>20</v>
      </c>
      <c r="H466" s="275">
        <f>F466/G466</f>
        <v>357122.38518409088</v>
      </c>
      <c r="I466" s="340">
        <v>0</v>
      </c>
      <c r="J466" s="340"/>
      <c r="K466" s="71">
        <f>SUM(G458:G466)</f>
        <v>33.083300000000001</v>
      </c>
      <c r="L466" s="163"/>
      <c r="M466" s="49"/>
      <c r="N466" s="86"/>
      <c r="O466" s="117"/>
      <c r="P466" s="97">
        <f>H466</f>
        <v>357122.38518409088</v>
      </c>
      <c r="Q466" s="105"/>
      <c r="R466" s="55"/>
      <c r="S466" s="185"/>
    </row>
    <row r="467" spans="2:19" s="5" customFormat="1">
      <c r="B467" s="297"/>
      <c r="C467" s="826"/>
      <c r="D467" s="131" t="s">
        <v>354</v>
      </c>
      <c r="E467" s="470">
        <v>8.3333333333333329E-2</v>
      </c>
      <c r="F467" s="331">
        <f>H466</f>
        <v>357122.38518409088</v>
      </c>
      <c r="G467" s="439">
        <v>1</v>
      </c>
      <c r="H467" s="275">
        <f>F467*E467</f>
        <v>29760.198765340905</v>
      </c>
      <c r="I467" s="340">
        <v>0</v>
      </c>
      <c r="J467" s="340">
        <f>SUM(H464:H467)</f>
        <v>5913606.5820912272</v>
      </c>
      <c r="K467" s="71">
        <f>SUM(G459:G467)</f>
        <v>33.083300000000001</v>
      </c>
      <c r="L467" s="163"/>
      <c r="M467" s="49"/>
      <c r="N467" s="86"/>
      <c r="O467" s="117"/>
      <c r="P467" s="97">
        <f>H467</f>
        <v>29760.198765340905</v>
      </c>
      <c r="Q467" s="105"/>
      <c r="R467" s="55"/>
      <c r="S467" s="185"/>
    </row>
    <row r="468" spans="2:19" s="5" customFormat="1">
      <c r="B468" s="294"/>
      <c r="C468" s="826"/>
      <c r="D468" s="119"/>
      <c r="E468" s="471"/>
      <c r="F468" s="341"/>
      <c r="G468" s="342"/>
      <c r="H468" s="343"/>
      <c r="I468" s="333"/>
      <c r="J468" s="333"/>
      <c r="K468" s="71"/>
      <c r="L468" s="163"/>
      <c r="M468" s="49"/>
      <c r="N468" s="103"/>
      <c r="O468" s="104"/>
      <c r="P468" s="104"/>
      <c r="Q468" s="105"/>
      <c r="R468" s="55"/>
      <c r="S468" s="185"/>
    </row>
    <row r="469" spans="2:19" s="5" customFormat="1" ht="15" customHeight="1">
      <c r="B469" s="398">
        <v>40</v>
      </c>
      <c r="C469" s="1006">
        <v>1</v>
      </c>
      <c r="D469" s="122" t="s">
        <v>76</v>
      </c>
      <c r="E469" s="467">
        <f>'SICA a Marzo2026'!E43</f>
        <v>446644.8</v>
      </c>
      <c r="F469" s="341"/>
      <c r="G469" s="344"/>
      <c r="H469" s="345"/>
      <c r="I469" s="346"/>
      <c r="J469" s="346"/>
      <c r="K469" s="71"/>
      <c r="L469" s="163"/>
      <c r="M469" s="16"/>
      <c r="N469" s="103"/>
      <c r="O469" s="104"/>
      <c r="P469" s="104"/>
      <c r="Q469" s="105"/>
      <c r="R469" s="22"/>
      <c r="S469" s="185"/>
    </row>
    <row r="470" spans="2:19" s="5" customFormat="1">
      <c r="B470" s="294"/>
      <c r="C470" s="826"/>
      <c r="D470" s="119" t="s">
        <v>0</v>
      </c>
      <c r="E470" s="467" t="s">
        <v>33</v>
      </c>
      <c r="F470" s="331">
        <f>E469</f>
        <v>446644.8</v>
      </c>
      <c r="G470" s="275">
        <f>$F$3-F3</f>
        <v>0</v>
      </c>
      <c r="H470" s="275">
        <f>+G470*F470</f>
        <v>0</v>
      </c>
      <c r="I470" s="333"/>
      <c r="J470" s="333"/>
      <c r="K470" s="71"/>
      <c r="L470" s="163"/>
      <c r="M470" s="49"/>
      <c r="N470" s="86">
        <f>H470</f>
        <v>0</v>
      </c>
      <c r="O470" s="112"/>
      <c r="P470" s="86"/>
      <c r="Q470" s="87"/>
      <c r="R470" s="55"/>
      <c r="S470" s="185"/>
    </row>
    <row r="471" spans="2:19" s="5" customFormat="1">
      <c r="B471" s="294"/>
      <c r="C471" s="826"/>
      <c r="D471" s="119" t="s">
        <v>4</v>
      </c>
      <c r="E471" s="467" t="s">
        <v>33</v>
      </c>
      <c r="F471" s="331">
        <f>E469</f>
        <v>446644.8</v>
      </c>
      <c r="G471" s="349">
        <v>2</v>
      </c>
      <c r="H471" s="275">
        <f>+G471*F471</f>
        <v>893289.6</v>
      </c>
      <c r="I471" s="333"/>
      <c r="J471" s="333"/>
      <c r="K471" s="71"/>
      <c r="L471" s="163"/>
      <c r="M471" s="49"/>
      <c r="N471" s="86"/>
      <c r="O471" s="112">
        <f>H471</f>
        <v>893289.6</v>
      </c>
      <c r="P471" s="86"/>
      <c r="Q471" s="87"/>
      <c r="R471" s="55"/>
      <c r="S471" s="185"/>
    </row>
    <row r="472" spans="2:19" s="5" customFormat="1">
      <c r="B472" s="294"/>
      <c r="C472" s="826"/>
      <c r="D472" s="119" t="s">
        <v>34</v>
      </c>
      <c r="E472" s="468">
        <f>$H$5+2</f>
        <v>13.25</v>
      </c>
      <c r="F472" s="331">
        <f>E469/44*1.5</f>
        <v>15226.527272727271</v>
      </c>
      <c r="G472" s="334">
        <f>$F$4</f>
        <v>6</v>
      </c>
      <c r="H472" s="275">
        <f>+G472*F472*E472</f>
        <v>1210508.9181818182</v>
      </c>
      <c r="I472" s="333"/>
      <c r="J472" s="333"/>
      <c r="K472" s="71"/>
      <c r="L472" s="163"/>
      <c r="M472" s="49"/>
      <c r="N472" s="86"/>
      <c r="O472" s="112">
        <f>H472</f>
        <v>1210508.9181818182</v>
      </c>
      <c r="P472" s="86"/>
      <c r="Q472" s="87"/>
      <c r="R472" s="55"/>
      <c r="S472" s="185"/>
    </row>
    <row r="473" spans="2:19" s="5" customFormat="1">
      <c r="B473" s="294"/>
      <c r="C473" s="826"/>
      <c r="D473" s="119" t="s">
        <v>1</v>
      </c>
      <c r="E473" s="469" t="s">
        <v>35</v>
      </c>
      <c r="F473" s="331">
        <f>E469/5*1.5</f>
        <v>133993.44</v>
      </c>
      <c r="G473" s="275">
        <f>$H$3</f>
        <v>0</v>
      </c>
      <c r="H473" s="275">
        <f>+G473*F473</f>
        <v>0</v>
      </c>
      <c r="I473" s="333"/>
      <c r="J473" s="333"/>
      <c r="K473" s="71"/>
      <c r="L473" s="163"/>
      <c r="M473" s="49"/>
      <c r="N473" s="86"/>
      <c r="O473" s="112">
        <f>H473</f>
        <v>0</v>
      </c>
      <c r="P473" s="86"/>
      <c r="Q473" s="87"/>
      <c r="R473" s="55"/>
      <c r="S473" s="185"/>
    </row>
    <row r="474" spans="2:19" s="5" customFormat="1">
      <c r="B474" s="294"/>
      <c r="C474" s="826"/>
      <c r="D474" s="119" t="s">
        <v>5</v>
      </c>
      <c r="E474" s="469" t="s">
        <v>35</v>
      </c>
      <c r="F474" s="331">
        <f>E469/5*2</f>
        <v>178657.91999999998</v>
      </c>
      <c r="G474" s="275">
        <f>$H$4</f>
        <v>0</v>
      </c>
      <c r="H474" s="275">
        <f>+G474*F474</f>
        <v>0</v>
      </c>
      <c r="I474" s="333"/>
      <c r="J474" s="333"/>
      <c r="K474" s="71"/>
      <c r="L474" s="163"/>
      <c r="M474" s="49"/>
      <c r="N474" s="86"/>
      <c r="O474" s="112">
        <f>H474</f>
        <v>0</v>
      </c>
      <c r="P474" s="86"/>
      <c r="Q474" s="87"/>
      <c r="R474" s="55"/>
      <c r="S474" s="185"/>
    </row>
    <row r="475" spans="2:19" s="5" customFormat="1">
      <c r="B475" s="294"/>
      <c r="C475" s="826"/>
      <c r="D475" s="119" t="s">
        <v>6</v>
      </c>
      <c r="E475" s="467" t="s">
        <v>33</v>
      </c>
      <c r="F475" s="331">
        <f>E469</f>
        <v>446644.8</v>
      </c>
      <c r="G475" s="275">
        <f>$F$5-$F$5</f>
        <v>0</v>
      </c>
      <c r="H475" s="275">
        <f>+G475*F475</f>
        <v>0</v>
      </c>
      <c r="I475" s="333"/>
      <c r="J475" s="333"/>
      <c r="K475" s="71"/>
      <c r="L475" s="163"/>
      <c r="M475" s="49"/>
      <c r="N475" s="86"/>
      <c r="O475" s="112"/>
      <c r="P475" s="86">
        <f>SUM(H475)</f>
        <v>0</v>
      </c>
      <c r="Q475" s="87"/>
      <c r="R475" s="55"/>
      <c r="S475" s="185"/>
    </row>
    <row r="476" spans="2:19" s="5" customFormat="1">
      <c r="B476" s="294"/>
      <c r="C476" s="826"/>
      <c r="D476" s="119" t="s">
        <v>36</v>
      </c>
      <c r="E476" s="469" t="s">
        <v>21</v>
      </c>
      <c r="F476" s="347">
        <f>G470+G471+G475</f>
        <v>2</v>
      </c>
      <c r="G476" s="336" t="s">
        <v>37</v>
      </c>
      <c r="H476" s="275">
        <f>SUM(H470:H475)</f>
        <v>2103798.5181818181</v>
      </c>
      <c r="I476" s="332"/>
      <c r="J476" s="333"/>
      <c r="K476" s="71"/>
      <c r="L476" s="163"/>
      <c r="M476" s="49"/>
      <c r="N476" s="114"/>
      <c r="O476" s="115"/>
      <c r="P476" s="112"/>
      <c r="Q476" s="87"/>
      <c r="R476" s="55"/>
      <c r="S476" s="185"/>
    </row>
    <row r="477" spans="2:19" s="5" customFormat="1">
      <c r="B477" s="294"/>
      <c r="C477" s="826"/>
      <c r="D477" s="131" t="s">
        <v>38</v>
      </c>
      <c r="E477" s="469" t="s">
        <v>21</v>
      </c>
      <c r="F477" s="331">
        <f>SUM(H470:H475)</f>
        <v>2103798.5181818181</v>
      </c>
      <c r="G477" s="337">
        <f>$G$21</f>
        <v>8.3299999999999999E-2</v>
      </c>
      <c r="H477" s="275">
        <f>+G477*F477</f>
        <v>175246.41656454545</v>
      </c>
      <c r="I477" s="338"/>
      <c r="J477" s="338"/>
      <c r="K477" s="71"/>
      <c r="L477" s="163"/>
      <c r="M477" s="49"/>
      <c r="N477" s="86"/>
      <c r="O477" s="117"/>
      <c r="P477" s="97">
        <f>H477</f>
        <v>175246.41656454545</v>
      </c>
      <c r="Q477" s="105"/>
      <c r="R477" s="55"/>
      <c r="S477" s="185"/>
    </row>
    <row r="478" spans="2:19" s="5" customFormat="1">
      <c r="B478" s="294"/>
      <c r="C478" s="826"/>
      <c r="D478" s="131" t="s">
        <v>39</v>
      </c>
      <c r="E478" s="470">
        <f>F477/(5*F476)</f>
        <v>210379.85181818181</v>
      </c>
      <c r="F478" s="331">
        <f>E478*(F476*7)</f>
        <v>2945317.9254545453</v>
      </c>
      <c r="G478" s="339">
        <f>$G$22</f>
        <v>20</v>
      </c>
      <c r="H478" s="275">
        <f>F478/G478</f>
        <v>147265.89627272726</v>
      </c>
      <c r="I478" s="340">
        <v>0</v>
      </c>
      <c r="J478" s="340"/>
      <c r="K478" s="71">
        <f>SUM(G470:G478)</f>
        <v>28.083300000000001</v>
      </c>
      <c r="L478" s="163"/>
      <c r="M478" s="49"/>
      <c r="N478" s="86"/>
      <c r="O478" s="117"/>
      <c r="P478" s="97">
        <f>H478</f>
        <v>147265.89627272726</v>
      </c>
      <c r="Q478" s="105"/>
      <c r="R478" s="55"/>
      <c r="S478" s="185"/>
    </row>
    <row r="479" spans="2:19" s="5" customFormat="1">
      <c r="B479" s="297"/>
      <c r="C479" s="826"/>
      <c r="D479" s="131" t="s">
        <v>354</v>
      </c>
      <c r="E479" s="470">
        <v>8.3333333333333329E-2</v>
      </c>
      <c r="F479" s="331">
        <f>H478</f>
        <v>147265.89627272726</v>
      </c>
      <c r="G479" s="439">
        <v>1</v>
      </c>
      <c r="H479" s="275">
        <f>F479*E479</f>
        <v>12272.158022727272</v>
      </c>
      <c r="I479" s="340">
        <v>0</v>
      </c>
      <c r="J479" s="340">
        <f>SUM(H476:H479)</f>
        <v>2438582.9890418183</v>
      </c>
      <c r="K479" s="71">
        <f>SUM(G471:G479)</f>
        <v>29.083300000000001</v>
      </c>
      <c r="L479" s="163"/>
      <c r="M479" s="49"/>
      <c r="N479" s="86"/>
      <c r="O479" s="117"/>
      <c r="P479" s="97">
        <f>H479</f>
        <v>12272.158022727272</v>
      </c>
      <c r="Q479" s="105"/>
      <c r="R479" s="55"/>
      <c r="S479" s="185"/>
    </row>
    <row r="480" spans="2:19" s="5" customFormat="1">
      <c r="B480" s="294"/>
      <c r="C480" s="826"/>
      <c r="D480" s="119"/>
      <c r="E480" s="471"/>
      <c r="F480" s="341"/>
      <c r="G480" s="342"/>
      <c r="H480" s="343"/>
      <c r="I480" s="333"/>
      <c r="J480" s="333"/>
      <c r="K480" s="71"/>
      <c r="L480" s="163"/>
      <c r="M480" s="49"/>
      <c r="N480" s="103"/>
      <c r="O480" s="104"/>
      <c r="P480" s="104"/>
      <c r="Q480" s="105"/>
      <c r="R480" s="55"/>
      <c r="S480" s="185"/>
    </row>
    <row r="481" spans="2:19" s="5" customFormat="1" ht="15" customHeight="1">
      <c r="B481" s="398">
        <v>41</v>
      </c>
      <c r="C481" s="1006">
        <v>1</v>
      </c>
      <c r="D481" s="122" t="s">
        <v>232</v>
      </c>
      <c r="E481" s="467">
        <f>'SICA a Marzo2026'!E44</f>
        <v>761947.56</v>
      </c>
      <c r="F481" s="341"/>
      <c r="G481" s="344"/>
      <c r="H481" s="345"/>
      <c r="I481" s="346"/>
      <c r="J481" s="346"/>
      <c r="K481" s="71"/>
      <c r="L481" s="163"/>
      <c r="M481" s="16"/>
      <c r="N481" s="103"/>
      <c r="O481" s="104"/>
      <c r="P481" s="104"/>
      <c r="Q481" s="105"/>
      <c r="R481" s="22"/>
      <c r="S481" s="185"/>
    </row>
    <row r="482" spans="2:19" s="5" customFormat="1">
      <c r="B482" s="294"/>
      <c r="C482" s="826"/>
      <c r="D482" s="119" t="s">
        <v>264</v>
      </c>
      <c r="E482" s="467" t="s">
        <v>33</v>
      </c>
      <c r="F482" s="331">
        <f>E481</f>
        <v>761947.56</v>
      </c>
      <c r="G482" s="86">
        <v>1</v>
      </c>
      <c r="H482" s="275">
        <f>+G482*F482</f>
        <v>761947.56</v>
      </c>
      <c r="I482" s="333"/>
      <c r="J482" s="333"/>
      <c r="K482" s="71"/>
      <c r="L482" s="163"/>
      <c r="M482" s="49"/>
      <c r="N482" s="86">
        <f>H482</f>
        <v>761947.56</v>
      </c>
      <c r="O482" s="112"/>
      <c r="P482" s="86"/>
      <c r="Q482" s="87"/>
      <c r="R482" s="55"/>
      <c r="S482" s="185"/>
    </row>
    <row r="483" spans="2:19" s="5" customFormat="1">
      <c r="B483" s="294"/>
      <c r="C483" s="826"/>
      <c r="D483" s="119" t="s">
        <v>4</v>
      </c>
      <c r="E483" s="467" t="s">
        <v>33</v>
      </c>
      <c r="F483" s="331">
        <f>E481</f>
        <v>761947.56</v>
      </c>
      <c r="G483" s="275">
        <f>$F$4</f>
        <v>6</v>
      </c>
      <c r="H483" s="275">
        <f>+G483*F483</f>
        <v>4571685.3600000003</v>
      </c>
      <c r="I483" s="333"/>
      <c r="J483" s="333"/>
      <c r="K483" s="71"/>
      <c r="L483" s="163"/>
      <c r="M483" s="49"/>
      <c r="N483" s="86"/>
      <c r="O483" s="112">
        <f>H483</f>
        <v>4571685.3600000003</v>
      </c>
      <c r="P483" s="86"/>
      <c r="Q483" s="87"/>
      <c r="R483" s="55"/>
      <c r="S483" s="185"/>
    </row>
    <row r="484" spans="2:19" s="5" customFormat="1">
      <c r="B484" s="294"/>
      <c r="C484" s="826"/>
      <c r="D484" s="119" t="s">
        <v>34</v>
      </c>
      <c r="E484" s="468">
        <f>$H$5</f>
        <v>11.25</v>
      </c>
      <c r="F484" s="331">
        <f>E481/44*1.5</f>
        <v>25975.485000000001</v>
      </c>
      <c r="G484" s="334">
        <f>$F$4</f>
        <v>6</v>
      </c>
      <c r="H484" s="275">
        <f>+G484*F484*E484</f>
        <v>1753345.2375</v>
      </c>
      <c r="I484" s="333"/>
      <c r="J484" s="333"/>
      <c r="K484" s="71"/>
      <c r="L484" s="163"/>
      <c r="M484" s="49"/>
      <c r="N484" s="86"/>
      <c r="O484" s="112">
        <f>H484</f>
        <v>1753345.2375</v>
      </c>
      <c r="P484" s="86"/>
      <c r="Q484" s="87"/>
      <c r="R484" s="55"/>
      <c r="S484" s="185"/>
    </row>
    <row r="485" spans="2:19" s="5" customFormat="1">
      <c r="B485" s="294"/>
      <c r="C485" s="826"/>
      <c r="D485" s="119" t="s">
        <v>1</v>
      </c>
      <c r="E485" s="467" t="s">
        <v>65</v>
      </c>
      <c r="F485" s="331">
        <f>E481/5*1.5</f>
        <v>228584.26800000004</v>
      </c>
      <c r="G485" s="275">
        <f>$H$3</f>
        <v>0</v>
      </c>
      <c r="H485" s="275">
        <f>+G485*F485</f>
        <v>0</v>
      </c>
      <c r="I485" s="333"/>
      <c r="J485" s="333"/>
      <c r="K485" s="71"/>
      <c r="L485" s="163"/>
      <c r="M485" s="49"/>
      <c r="N485" s="86"/>
      <c r="O485" s="112">
        <f>H485</f>
        <v>0</v>
      </c>
      <c r="P485" s="86"/>
      <c r="Q485" s="87"/>
      <c r="R485" s="55"/>
      <c r="S485" s="185"/>
    </row>
    <row r="486" spans="2:19" s="5" customFormat="1">
      <c r="B486" s="294"/>
      <c r="C486" s="826"/>
      <c r="D486" s="119" t="s">
        <v>5</v>
      </c>
      <c r="E486" s="467" t="s">
        <v>65</v>
      </c>
      <c r="F486" s="331">
        <f>E481/5*2</f>
        <v>304779.02400000003</v>
      </c>
      <c r="G486" s="275">
        <f>$H$4</f>
        <v>0</v>
      </c>
      <c r="H486" s="275">
        <f>+G486*F486</f>
        <v>0</v>
      </c>
      <c r="I486" s="333"/>
      <c r="J486" s="333"/>
      <c r="K486" s="71"/>
      <c r="L486" s="163"/>
      <c r="M486" s="49"/>
      <c r="N486" s="86"/>
      <c r="O486" s="112">
        <f>H486</f>
        <v>0</v>
      </c>
      <c r="P486" s="86"/>
      <c r="Q486" s="87"/>
      <c r="R486" s="55"/>
      <c r="S486" s="185"/>
    </row>
    <row r="487" spans="2:19" s="5" customFormat="1">
      <c r="B487" s="294"/>
      <c r="C487" s="826"/>
      <c r="D487" s="119" t="s">
        <v>6</v>
      </c>
      <c r="E487" s="467" t="s">
        <v>33</v>
      </c>
      <c r="F487" s="331">
        <f>E481</f>
        <v>761947.56</v>
      </c>
      <c r="G487" s="275">
        <f>$F$5-F5</f>
        <v>0</v>
      </c>
      <c r="H487" s="275">
        <f>+G487*F487</f>
        <v>0</v>
      </c>
      <c r="I487" s="333"/>
      <c r="J487" s="333"/>
      <c r="K487" s="71"/>
      <c r="L487" s="163"/>
      <c r="M487" s="49"/>
      <c r="N487" s="86"/>
      <c r="O487" s="112"/>
      <c r="P487" s="86">
        <f>SUM(H487)</f>
        <v>0</v>
      </c>
      <c r="Q487" s="87"/>
      <c r="R487" s="55"/>
      <c r="S487" s="185"/>
    </row>
    <row r="488" spans="2:19" s="5" customFormat="1">
      <c r="B488" s="294"/>
      <c r="C488" s="826"/>
      <c r="D488" s="119" t="s">
        <v>36</v>
      </c>
      <c r="E488" s="469" t="s">
        <v>21</v>
      </c>
      <c r="F488" s="275">
        <f>G482+G483+G487</f>
        <v>7</v>
      </c>
      <c r="G488" s="336" t="s">
        <v>37</v>
      </c>
      <c r="H488" s="275">
        <f>SUM(H482:H487)</f>
        <v>7086978.1574999997</v>
      </c>
      <c r="I488" s="332"/>
      <c r="J488" s="333"/>
      <c r="K488" s="71"/>
      <c r="L488" s="163"/>
      <c r="M488" s="49"/>
      <c r="N488" s="114"/>
      <c r="O488" s="115"/>
      <c r="P488" s="112"/>
      <c r="Q488" s="87"/>
      <c r="R488" s="55"/>
      <c r="S488" s="185"/>
    </row>
    <row r="489" spans="2:19" s="5" customFormat="1">
      <c r="B489" s="294"/>
      <c r="C489" s="826"/>
      <c r="D489" s="131" t="s">
        <v>38</v>
      </c>
      <c r="E489" s="469" t="s">
        <v>21</v>
      </c>
      <c r="F489" s="331">
        <f>SUM(H482:H487)</f>
        <v>7086978.1574999997</v>
      </c>
      <c r="G489" s="337">
        <f>$G$21</f>
        <v>8.3299999999999999E-2</v>
      </c>
      <c r="H489" s="275">
        <f>+G489*F489</f>
        <v>590345.28051974997</v>
      </c>
      <c r="I489" s="338"/>
      <c r="J489" s="338"/>
      <c r="K489" s="71"/>
      <c r="L489" s="163"/>
      <c r="M489" s="49"/>
      <c r="N489" s="86"/>
      <c r="O489" s="117"/>
      <c r="P489" s="97">
        <f>H489</f>
        <v>590345.28051974997</v>
      </c>
      <c r="Q489" s="105"/>
      <c r="R489" s="55"/>
      <c r="S489" s="185"/>
    </row>
    <row r="490" spans="2:19" s="5" customFormat="1">
      <c r="B490" s="294"/>
      <c r="C490" s="826"/>
      <c r="D490" s="131" t="s">
        <v>39</v>
      </c>
      <c r="E490" s="470">
        <f>F489/(5*F488)</f>
        <v>202485.09021428571</v>
      </c>
      <c r="F490" s="331">
        <f>E490*(F488*7)</f>
        <v>9921769.4204999991</v>
      </c>
      <c r="G490" s="339">
        <f>$G$22</f>
        <v>20</v>
      </c>
      <c r="H490" s="275">
        <f>F490/G490</f>
        <v>496088.47102499998</v>
      </c>
      <c r="I490" s="340">
        <v>0</v>
      </c>
      <c r="J490" s="340"/>
      <c r="K490" s="71">
        <f>SUM(G482:G490)</f>
        <v>33.083300000000001</v>
      </c>
      <c r="L490" s="163"/>
      <c r="M490" s="49"/>
      <c r="N490" s="86"/>
      <c r="O490" s="117"/>
      <c r="P490" s="97">
        <f>H490</f>
        <v>496088.47102499998</v>
      </c>
      <c r="Q490" s="105"/>
      <c r="R490" s="55"/>
      <c r="S490" s="185"/>
    </row>
    <row r="491" spans="2:19" s="5" customFormat="1">
      <c r="B491" s="297"/>
      <c r="C491" s="826"/>
      <c r="D491" s="131" t="s">
        <v>354</v>
      </c>
      <c r="E491" s="470">
        <v>8.3333333333333329E-2</v>
      </c>
      <c r="F491" s="331">
        <f>H490</f>
        <v>496088.47102499998</v>
      </c>
      <c r="G491" s="439">
        <v>1</v>
      </c>
      <c r="H491" s="275">
        <f>F491*E491</f>
        <v>41340.705918749998</v>
      </c>
      <c r="I491" s="340">
        <v>0</v>
      </c>
      <c r="J491" s="340">
        <f>SUM(H488:H491)</f>
        <v>8214752.6149634998</v>
      </c>
      <c r="K491" s="71">
        <f>SUM(G483:G491)</f>
        <v>33.083300000000001</v>
      </c>
      <c r="L491" s="163"/>
      <c r="M491" s="49"/>
      <c r="N491" s="86"/>
      <c r="O491" s="117"/>
      <c r="P491" s="97">
        <f>H491</f>
        <v>41340.705918749998</v>
      </c>
      <c r="Q491" s="105"/>
      <c r="R491" s="55"/>
      <c r="S491" s="185"/>
    </row>
    <row r="492" spans="2:19" s="5" customFormat="1">
      <c r="B492" s="294"/>
      <c r="C492" s="826"/>
      <c r="D492" s="119"/>
      <c r="E492" s="471"/>
      <c r="F492" s="341"/>
      <c r="G492" s="342"/>
      <c r="H492" s="343"/>
      <c r="I492" s="333"/>
      <c r="J492" s="333"/>
      <c r="K492" s="71"/>
      <c r="L492" s="163"/>
      <c r="M492" s="49"/>
      <c r="N492" s="103"/>
      <c r="O492" s="104"/>
      <c r="P492" s="104"/>
      <c r="Q492" s="105"/>
      <c r="R492" s="55"/>
      <c r="S492" s="185"/>
    </row>
    <row r="493" spans="2:19" s="5" customFormat="1" ht="15" customHeight="1">
      <c r="B493" s="398">
        <v>42</v>
      </c>
      <c r="C493" s="1006">
        <v>1</v>
      </c>
      <c r="D493" s="122" t="s">
        <v>278</v>
      </c>
      <c r="E493" s="467">
        <f>'SICA a Marzo2026'!E45</f>
        <v>604155.24</v>
      </c>
      <c r="F493" s="341"/>
      <c r="G493" s="344"/>
      <c r="H493" s="345"/>
      <c r="I493" s="346"/>
      <c r="J493" s="346"/>
      <c r="K493" s="71"/>
      <c r="L493" s="163"/>
      <c r="M493" s="16"/>
      <c r="N493" s="103"/>
      <c r="O493" s="104"/>
      <c r="P493" s="104"/>
      <c r="Q493" s="105"/>
      <c r="R493" s="22"/>
      <c r="S493" s="185"/>
    </row>
    <row r="494" spans="2:19" s="5" customFormat="1">
      <c r="B494" s="294"/>
      <c r="C494" s="826"/>
      <c r="D494" s="119" t="s">
        <v>0</v>
      </c>
      <c r="E494" s="467" t="s">
        <v>33</v>
      </c>
      <c r="F494" s="331">
        <f>E493</f>
        <v>604155.24</v>
      </c>
      <c r="G494" s="275">
        <v>0</v>
      </c>
      <c r="H494" s="275">
        <f>+G494*F494</f>
        <v>0</v>
      </c>
      <c r="I494" s="333"/>
      <c r="J494" s="333"/>
      <c r="K494" s="71"/>
      <c r="L494" s="163"/>
      <c r="M494" s="49"/>
      <c r="N494" s="86">
        <f>H494</f>
        <v>0</v>
      </c>
      <c r="O494" s="112"/>
      <c r="P494" s="86"/>
      <c r="Q494" s="87"/>
      <c r="R494" s="55"/>
      <c r="S494" s="185"/>
    </row>
    <row r="495" spans="2:19" s="5" customFormat="1">
      <c r="B495" s="294"/>
      <c r="C495" s="826"/>
      <c r="D495" s="119" t="s">
        <v>4</v>
      </c>
      <c r="E495" s="467" t="s">
        <v>33</v>
      </c>
      <c r="F495" s="331">
        <f>E493</f>
        <v>604155.24</v>
      </c>
      <c r="G495" s="275">
        <f>$F$4</f>
        <v>6</v>
      </c>
      <c r="H495" s="275">
        <f>+G495*F495</f>
        <v>3624931.44</v>
      </c>
      <c r="I495" s="333"/>
      <c r="J495" s="333"/>
      <c r="K495" s="71"/>
      <c r="L495" s="163"/>
      <c r="M495" s="49"/>
      <c r="N495" s="86"/>
      <c r="O495" s="112">
        <f>H495</f>
        <v>3624931.44</v>
      </c>
      <c r="P495" s="86"/>
      <c r="Q495" s="87"/>
      <c r="R495" s="55"/>
      <c r="S495" s="185"/>
    </row>
    <row r="496" spans="2:19" s="5" customFormat="1">
      <c r="B496" s="294"/>
      <c r="C496" s="826"/>
      <c r="D496" s="119" t="s">
        <v>34</v>
      </c>
      <c r="E496" s="468">
        <f>$H$5</f>
        <v>11.25</v>
      </c>
      <c r="F496" s="331">
        <f>E493/44*1.5</f>
        <v>20596.201363636363</v>
      </c>
      <c r="G496" s="334">
        <f>$F$4</f>
        <v>6</v>
      </c>
      <c r="H496" s="275">
        <f>+G496*F496*E496</f>
        <v>1390243.5920454545</v>
      </c>
      <c r="I496" s="333"/>
      <c r="J496" s="333"/>
      <c r="K496" s="71"/>
      <c r="L496" s="163"/>
      <c r="M496" s="49"/>
      <c r="N496" s="86"/>
      <c r="O496" s="112">
        <f>H496</f>
        <v>1390243.5920454545</v>
      </c>
      <c r="P496" s="86"/>
      <c r="Q496" s="87"/>
      <c r="R496" s="55"/>
      <c r="S496" s="185"/>
    </row>
    <row r="497" spans="2:19" s="5" customFormat="1">
      <c r="B497" s="294"/>
      <c r="C497" s="826"/>
      <c r="D497" s="119" t="s">
        <v>1</v>
      </c>
      <c r="E497" s="469" t="s">
        <v>35</v>
      </c>
      <c r="F497" s="331">
        <f>E493/5*1.5</f>
        <v>181246.57199999999</v>
      </c>
      <c r="G497" s="275">
        <f>$H$3</f>
        <v>0</v>
      </c>
      <c r="H497" s="275">
        <f>+G497*F497</f>
        <v>0</v>
      </c>
      <c r="I497" s="333"/>
      <c r="J497" s="333"/>
      <c r="K497" s="71"/>
      <c r="L497" s="163"/>
      <c r="M497" s="49"/>
      <c r="N497" s="86"/>
      <c r="O497" s="112">
        <f>H497</f>
        <v>0</v>
      </c>
      <c r="P497" s="86"/>
      <c r="Q497" s="87"/>
      <c r="R497" s="55"/>
      <c r="S497" s="185"/>
    </row>
    <row r="498" spans="2:19" s="5" customFormat="1">
      <c r="B498" s="294"/>
      <c r="C498" s="826"/>
      <c r="D498" s="119" t="s">
        <v>5</v>
      </c>
      <c r="E498" s="469" t="s">
        <v>35</v>
      </c>
      <c r="F498" s="331">
        <f>E493/5*2</f>
        <v>241662.09599999999</v>
      </c>
      <c r="G498" s="275">
        <f>$H$4</f>
        <v>0</v>
      </c>
      <c r="H498" s="275">
        <f>+G498*F498</f>
        <v>0</v>
      </c>
      <c r="I498" s="333"/>
      <c r="J498" s="333"/>
      <c r="K498" s="71"/>
      <c r="L498" s="163"/>
      <c r="M498" s="49"/>
      <c r="N498" s="86"/>
      <c r="O498" s="112">
        <f>H498</f>
        <v>0</v>
      </c>
      <c r="P498" s="86"/>
      <c r="Q498" s="87"/>
      <c r="R498" s="55"/>
      <c r="S498" s="185"/>
    </row>
    <row r="499" spans="2:19" s="5" customFormat="1">
      <c r="B499" s="294"/>
      <c r="C499" s="826"/>
      <c r="D499" s="119" t="s">
        <v>6</v>
      </c>
      <c r="E499" s="467" t="s">
        <v>33</v>
      </c>
      <c r="F499" s="331">
        <f>E493</f>
        <v>604155.24</v>
      </c>
      <c r="G499" s="275">
        <f>$F$5-$F$5</f>
        <v>0</v>
      </c>
      <c r="H499" s="275">
        <f>+G499*F499</f>
        <v>0</v>
      </c>
      <c r="I499" s="333"/>
      <c r="J499" s="333"/>
      <c r="K499" s="71"/>
      <c r="L499" s="163"/>
      <c r="M499" s="49"/>
      <c r="N499" s="86"/>
      <c r="O499" s="112"/>
      <c r="P499" s="86">
        <f>SUM(H499)</f>
        <v>0</v>
      </c>
      <c r="Q499" s="87"/>
      <c r="R499" s="55"/>
      <c r="S499" s="185"/>
    </row>
    <row r="500" spans="2:19" s="5" customFormat="1">
      <c r="B500" s="294"/>
      <c r="C500" s="826"/>
      <c r="D500" s="119" t="s">
        <v>36</v>
      </c>
      <c r="E500" s="469" t="s">
        <v>21</v>
      </c>
      <c r="F500" s="275">
        <f>G494+G495+G499</f>
        <v>6</v>
      </c>
      <c r="G500" s="336" t="s">
        <v>37</v>
      </c>
      <c r="H500" s="275">
        <f>SUM(H494:H499)</f>
        <v>5015175.0320454547</v>
      </c>
      <c r="I500" s="332"/>
      <c r="J500" s="333"/>
      <c r="K500" s="71"/>
      <c r="L500" s="163"/>
      <c r="M500" s="49"/>
      <c r="N500" s="114"/>
      <c r="O500" s="115"/>
      <c r="P500" s="112"/>
      <c r="Q500" s="87"/>
      <c r="R500" s="55"/>
      <c r="S500" s="185"/>
    </row>
    <row r="501" spans="2:19" s="5" customFormat="1">
      <c r="B501" s="294"/>
      <c r="C501" s="826"/>
      <c r="D501" s="131" t="s">
        <v>38</v>
      </c>
      <c r="E501" s="469" t="s">
        <v>21</v>
      </c>
      <c r="F501" s="331">
        <f>SUM(H494:H499)</f>
        <v>5015175.0320454547</v>
      </c>
      <c r="G501" s="337">
        <f>$G$21</f>
        <v>8.3299999999999999E-2</v>
      </c>
      <c r="H501" s="275">
        <f>+G501*F501</f>
        <v>417764.08016938635</v>
      </c>
      <c r="I501" s="338"/>
      <c r="J501" s="338"/>
      <c r="K501" s="71"/>
      <c r="L501" s="163"/>
      <c r="M501" s="49"/>
      <c r="N501" s="86"/>
      <c r="O501" s="117"/>
      <c r="P501" s="97">
        <f>H501</f>
        <v>417764.08016938635</v>
      </c>
      <c r="Q501" s="105"/>
      <c r="R501" s="55"/>
      <c r="S501" s="185"/>
    </row>
    <row r="502" spans="2:19" s="5" customFormat="1">
      <c r="B502" s="294"/>
      <c r="C502" s="826"/>
      <c r="D502" s="131" t="s">
        <v>39</v>
      </c>
      <c r="E502" s="470">
        <f>F501/(5*F500)</f>
        <v>167172.50106818182</v>
      </c>
      <c r="F502" s="331">
        <f>E502*(F500*7)</f>
        <v>7021245.0448636366</v>
      </c>
      <c r="G502" s="339">
        <f>$G$22</f>
        <v>20</v>
      </c>
      <c r="H502" s="275">
        <f>F502/G502</f>
        <v>351062.25224318181</v>
      </c>
      <c r="I502" s="340">
        <v>0</v>
      </c>
      <c r="J502" s="340"/>
      <c r="K502" s="71">
        <f>SUM(G494:G502)</f>
        <v>32.083300000000001</v>
      </c>
      <c r="L502" s="163"/>
      <c r="M502" s="49"/>
      <c r="N502" s="86"/>
      <c r="O502" s="117"/>
      <c r="P502" s="97">
        <f>H502</f>
        <v>351062.25224318181</v>
      </c>
      <c r="Q502" s="105"/>
      <c r="R502" s="55"/>
      <c r="S502" s="185"/>
    </row>
    <row r="503" spans="2:19" s="5" customFormat="1">
      <c r="B503" s="297"/>
      <c r="C503" s="826"/>
      <c r="D503" s="131" t="s">
        <v>354</v>
      </c>
      <c r="E503" s="470">
        <v>8.3333333333333329E-2</v>
      </c>
      <c r="F503" s="331">
        <f>H502</f>
        <v>351062.25224318181</v>
      </c>
      <c r="G503" s="439">
        <v>1</v>
      </c>
      <c r="H503" s="275">
        <f>F503*E503</f>
        <v>29255.187686931815</v>
      </c>
      <c r="I503" s="340">
        <v>0</v>
      </c>
      <c r="J503" s="340">
        <f>SUM(H500:H503)</f>
        <v>5813256.5521449549</v>
      </c>
      <c r="K503" s="71">
        <f>SUM(G495:G503)</f>
        <v>33.083300000000001</v>
      </c>
      <c r="L503" s="163"/>
      <c r="M503" s="49"/>
      <c r="N503" s="86"/>
      <c r="O503" s="117"/>
      <c r="P503" s="97">
        <f>H503</f>
        <v>29255.187686931815</v>
      </c>
      <c r="Q503" s="105"/>
      <c r="R503" s="55"/>
      <c r="S503" s="185"/>
    </row>
    <row r="504" spans="2:19" s="5" customFormat="1">
      <c r="B504" s="294"/>
      <c r="C504" s="826"/>
      <c r="D504" s="119"/>
      <c r="E504" s="471"/>
      <c r="F504" s="341"/>
      <c r="G504" s="342"/>
      <c r="H504" s="343"/>
      <c r="I504" s="333"/>
      <c r="J504" s="333"/>
      <c r="K504" s="71"/>
      <c r="L504" s="163"/>
      <c r="M504" s="49"/>
      <c r="N504" s="103"/>
      <c r="O504" s="104"/>
      <c r="P504" s="104"/>
      <c r="Q504" s="105"/>
      <c r="R504" s="55"/>
      <c r="S504" s="185"/>
    </row>
    <row r="505" spans="2:19" s="5" customFormat="1" ht="15" customHeight="1">
      <c r="B505" s="398">
        <v>43</v>
      </c>
      <c r="C505" s="1006">
        <v>1</v>
      </c>
      <c r="D505" s="122" t="s">
        <v>77</v>
      </c>
      <c r="E505" s="467">
        <f>'SICA a Marzo2026'!E46</f>
        <v>761947.56</v>
      </c>
      <c r="F505" s="341"/>
      <c r="G505" s="344"/>
      <c r="H505" s="345"/>
      <c r="I505" s="346"/>
      <c r="J505" s="346"/>
      <c r="K505" s="71"/>
      <c r="L505" s="163"/>
      <c r="M505" s="16"/>
      <c r="N505" s="103"/>
      <c r="O505" s="104"/>
      <c r="P505" s="104"/>
      <c r="Q505" s="105"/>
      <c r="R505" s="22"/>
      <c r="S505" s="185"/>
    </row>
    <row r="506" spans="2:19" s="5" customFormat="1">
      <c r="B506" s="294"/>
      <c r="C506" s="826"/>
      <c r="D506" s="119" t="s">
        <v>0</v>
      </c>
      <c r="E506" s="467" t="s">
        <v>33</v>
      </c>
      <c r="F506" s="331">
        <f>E505</f>
        <v>761947.56</v>
      </c>
      <c r="G506" s="275">
        <v>0</v>
      </c>
      <c r="H506" s="275">
        <f>+G506*F506</f>
        <v>0</v>
      </c>
      <c r="I506" s="333"/>
      <c r="J506" s="333"/>
      <c r="K506" s="71"/>
      <c r="L506" s="163"/>
      <c r="M506" s="49"/>
      <c r="N506" s="86">
        <f>H506</f>
        <v>0</v>
      </c>
      <c r="O506" s="112"/>
      <c r="P506" s="86"/>
      <c r="Q506" s="87"/>
      <c r="R506" s="55"/>
      <c r="S506" s="185"/>
    </row>
    <row r="507" spans="2:19" s="5" customFormat="1">
      <c r="B507" s="294"/>
      <c r="C507" s="826"/>
      <c r="D507" s="119" t="s">
        <v>4</v>
      </c>
      <c r="E507" s="467" t="s">
        <v>33</v>
      </c>
      <c r="F507" s="331">
        <f>E505</f>
        <v>761947.56</v>
      </c>
      <c r="G507" s="275">
        <v>0</v>
      </c>
      <c r="H507" s="275">
        <f>+G507*F507</f>
        <v>0</v>
      </c>
      <c r="I507" s="333"/>
      <c r="J507" s="333"/>
      <c r="K507" s="71"/>
      <c r="L507" s="163"/>
      <c r="M507" s="49"/>
      <c r="N507" s="86"/>
      <c r="O507" s="112">
        <f>H507</f>
        <v>0</v>
      </c>
      <c r="P507" s="86"/>
      <c r="Q507" s="87"/>
      <c r="R507" s="55"/>
      <c r="S507" s="185"/>
    </row>
    <row r="508" spans="2:19" s="5" customFormat="1">
      <c r="B508" s="294"/>
      <c r="C508" s="826"/>
      <c r="D508" s="119" t="s">
        <v>34</v>
      </c>
      <c r="E508" s="468">
        <f>$H$5-H5</f>
        <v>0</v>
      </c>
      <c r="F508" s="331">
        <f>E505/44*1.5</f>
        <v>25975.485000000001</v>
      </c>
      <c r="G508" s="334">
        <v>0</v>
      </c>
      <c r="H508" s="275">
        <f>+G508*F508*E508</f>
        <v>0</v>
      </c>
      <c r="I508" s="333"/>
      <c r="J508" s="333"/>
      <c r="K508" s="71"/>
      <c r="L508" s="163"/>
      <c r="M508" s="49"/>
      <c r="N508" s="86"/>
      <c r="O508" s="112">
        <f>H508</f>
        <v>0</v>
      </c>
      <c r="P508" s="86"/>
      <c r="Q508" s="87"/>
      <c r="R508" s="55"/>
      <c r="S508" s="185"/>
    </row>
    <row r="509" spans="2:19" s="5" customFormat="1">
      <c r="B509" s="294"/>
      <c r="C509" s="826"/>
      <c r="D509" s="119" t="s">
        <v>1</v>
      </c>
      <c r="E509" s="469" t="s">
        <v>35</v>
      </c>
      <c r="F509" s="331">
        <f>E505/5*1.5</f>
        <v>228584.26800000004</v>
      </c>
      <c r="G509" s="275">
        <f>$H$3</f>
        <v>0</v>
      </c>
      <c r="H509" s="275">
        <f>+G509*F509</f>
        <v>0</v>
      </c>
      <c r="I509" s="333"/>
      <c r="J509" s="333"/>
      <c r="K509" s="71"/>
      <c r="L509" s="163"/>
      <c r="M509" s="49"/>
      <c r="N509" s="86"/>
      <c r="O509" s="112">
        <f>H509</f>
        <v>0</v>
      </c>
      <c r="P509" s="86"/>
      <c r="Q509" s="87"/>
      <c r="R509" s="55"/>
      <c r="S509" s="185"/>
    </row>
    <row r="510" spans="2:19" s="5" customFormat="1">
      <c r="B510" s="294"/>
      <c r="C510" s="826"/>
      <c r="D510" s="119" t="s">
        <v>5</v>
      </c>
      <c r="E510" s="469" t="s">
        <v>35</v>
      </c>
      <c r="F510" s="331">
        <f>E505/5*2</f>
        <v>304779.02400000003</v>
      </c>
      <c r="G510" s="275">
        <f>$H$4</f>
        <v>0</v>
      </c>
      <c r="H510" s="275">
        <f>+G510*F510</f>
        <v>0</v>
      </c>
      <c r="I510" s="333"/>
      <c r="J510" s="333"/>
      <c r="K510" s="71"/>
      <c r="L510" s="163"/>
      <c r="M510" s="49"/>
      <c r="N510" s="86"/>
      <c r="O510" s="112">
        <f>H510</f>
        <v>0</v>
      </c>
      <c r="P510" s="86"/>
      <c r="Q510" s="87"/>
      <c r="R510" s="55"/>
      <c r="S510" s="185"/>
    </row>
    <row r="511" spans="2:19" s="5" customFormat="1">
      <c r="B511" s="294"/>
      <c r="C511" s="826"/>
      <c r="D511" s="119" t="s">
        <v>6</v>
      </c>
      <c r="E511" s="467" t="s">
        <v>33</v>
      </c>
      <c r="F511" s="331">
        <f>E505</f>
        <v>761947.56</v>
      </c>
      <c r="G511" s="275">
        <v>8</v>
      </c>
      <c r="H511" s="275">
        <f>+G511*F511</f>
        <v>6095580.4800000004</v>
      </c>
      <c r="I511" s="333"/>
      <c r="J511" s="333"/>
      <c r="K511" s="71"/>
      <c r="L511" s="163"/>
      <c r="M511" s="49"/>
      <c r="N511" s="86"/>
      <c r="O511" s="112"/>
      <c r="P511" s="86">
        <f>SUM(H511)</f>
        <v>6095580.4800000004</v>
      </c>
      <c r="Q511" s="87"/>
      <c r="R511" s="55"/>
      <c r="S511" s="185"/>
    </row>
    <row r="512" spans="2:19" s="5" customFormat="1">
      <c r="B512" s="294"/>
      <c r="C512" s="826"/>
      <c r="D512" s="119" t="s">
        <v>36</v>
      </c>
      <c r="E512" s="469" t="s">
        <v>21</v>
      </c>
      <c r="F512" s="275">
        <f>G506+G507+G511</f>
        <v>8</v>
      </c>
      <c r="G512" s="336" t="s">
        <v>37</v>
      </c>
      <c r="H512" s="275">
        <f>SUM(H506:H511)</f>
        <v>6095580.4800000004</v>
      </c>
      <c r="I512" s="332"/>
      <c r="J512" s="333"/>
      <c r="K512" s="71"/>
      <c r="L512" s="163"/>
      <c r="M512" s="49"/>
      <c r="N512" s="114"/>
      <c r="O512" s="115"/>
      <c r="P512" s="112"/>
      <c r="Q512" s="87"/>
      <c r="R512" s="55"/>
      <c r="S512" s="185"/>
    </row>
    <row r="513" spans="2:19" s="5" customFormat="1">
      <c r="B513" s="294"/>
      <c r="C513" s="826"/>
      <c r="D513" s="131" t="s">
        <v>38</v>
      </c>
      <c r="E513" s="469" t="s">
        <v>21</v>
      </c>
      <c r="F513" s="331">
        <f>SUM(H506:H511)</f>
        <v>6095580.4800000004</v>
      </c>
      <c r="G513" s="337">
        <f>$G$21</f>
        <v>8.3299999999999999E-2</v>
      </c>
      <c r="H513" s="275">
        <f>+G513*F513</f>
        <v>507761.85398400004</v>
      </c>
      <c r="I513" s="338"/>
      <c r="J513" s="338"/>
      <c r="K513" s="71"/>
      <c r="L513" s="163"/>
      <c r="M513" s="49"/>
      <c r="N513" s="86"/>
      <c r="O513" s="117"/>
      <c r="P513" s="97">
        <f>H513</f>
        <v>507761.85398400004</v>
      </c>
      <c r="Q513" s="105"/>
      <c r="R513" s="55"/>
      <c r="S513" s="185"/>
    </row>
    <row r="514" spans="2:19" s="5" customFormat="1">
      <c r="B514" s="294"/>
      <c r="C514" s="826"/>
      <c r="D514" s="131" t="s">
        <v>39</v>
      </c>
      <c r="E514" s="470">
        <f>F513/(5*F512)</f>
        <v>152389.51200000002</v>
      </c>
      <c r="F514" s="331">
        <f>E514*(F512*7)</f>
        <v>8533812.6720000003</v>
      </c>
      <c r="G514" s="339">
        <f>$G$22</f>
        <v>20</v>
      </c>
      <c r="H514" s="275">
        <f>F514/G514</f>
        <v>426690.6336</v>
      </c>
      <c r="I514" s="340">
        <v>0</v>
      </c>
      <c r="J514" s="340"/>
      <c r="K514" s="71">
        <f>SUM(G506:G514)</f>
        <v>28.083300000000001</v>
      </c>
      <c r="L514" s="163"/>
      <c r="M514" s="49"/>
      <c r="N514" s="86"/>
      <c r="O514" s="117"/>
      <c r="P514" s="97">
        <f>H514</f>
        <v>426690.6336</v>
      </c>
      <c r="Q514" s="105"/>
      <c r="R514" s="55"/>
      <c r="S514" s="185"/>
    </row>
    <row r="515" spans="2:19" s="5" customFormat="1">
      <c r="B515" s="297"/>
      <c r="C515" s="826"/>
      <c r="D515" s="131" t="s">
        <v>354</v>
      </c>
      <c r="E515" s="470">
        <v>8.3333333333333329E-2</v>
      </c>
      <c r="F515" s="331">
        <f>H514</f>
        <v>426690.6336</v>
      </c>
      <c r="G515" s="439">
        <v>1</v>
      </c>
      <c r="H515" s="275">
        <f>F515*E515</f>
        <v>35557.552799999998</v>
      </c>
      <c r="I515" s="340">
        <v>0</v>
      </c>
      <c r="J515" s="340">
        <f>SUM(H512:H515)</f>
        <v>7065590.5203840006</v>
      </c>
      <c r="K515" s="71">
        <f>SUM(G507:G515)</f>
        <v>29.083300000000001</v>
      </c>
      <c r="L515" s="163"/>
      <c r="M515" s="49"/>
      <c r="N515" s="86"/>
      <c r="O515" s="117"/>
      <c r="P515" s="97">
        <f>H515</f>
        <v>35557.552799999998</v>
      </c>
      <c r="Q515" s="105"/>
      <c r="R515" s="55"/>
      <c r="S515" s="185"/>
    </row>
    <row r="516" spans="2:19" s="5" customFormat="1">
      <c r="B516" s="294"/>
      <c r="C516" s="826"/>
      <c r="D516" s="119"/>
      <c r="E516" s="471"/>
      <c r="F516" s="341"/>
      <c r="G516" s="342"/>
      <c r="H516" s="343"/>
      <c r="I516" s="333"/>
      <c r="J516" s="333"/>
      <c r="K516" s="71"/>
      <c r="L516" s="163"/>
      <c r="M516" s="49"/>
      <c r="N516" s="103"/>
      <c r="O516" s="104"/>
      <c r="P516" s="104"/>
      <c r="Q516" s="105"/>
      <c r="R516" s="55"/>
      <c r="S516" s="185"/>
    </row>
    <row r="517" spans="2:19" s="5" customFormat="1" ht="15" customHeight="1">
      <c r="B517" s="398">
        <v>44</v>
      </c>
      <c r="C517" s="1006">
        <v>1</v>
      </c>
      <c r="D517" s="122" t="s">
        <v>178</v>
      </c>
      <c r="E517" s="467">
        <f>'SICA a Marzo2026'!E47</f>
        <v>604155.24</v>
      </c>
      <c r="F517" s="341"/>
      <c r="G517" s="344"/>
      <c r="H517" s="345"/>
      <c r="I517" s="346"/>
      <c r="J517" s="346"/>
      <c r="K517" s="71"/>
      <c r="L517" s="163"/>
      <c r="M517" s="16"/>
      <c r="N517" s="103"/>
      <c r="O517" s="104"/>
      <c r="P517" s="104"/>
      <c r="Q517" s="105"/>
      <c r="R517" s="22"/>
      <c r="S517" s="185"/>
    </row>
    <row r="518" spans="2:19" s="5" customFormat="1">
      <c r="B518" s="294"/>
      <c r="C518" s="826"/>
      <c r="D518" s="119" t="s">
        <v>0</v>
      </c>
      <c r="E518" s="467" t="s">
        <v>33</v>
      </c>
      <c r="F518" s="331">
        <f>E517</f>
        <v>604155.24</v>
      </c>
      <c r="G518" s="275">
        <v>0</v>
      </c>
      <c r="H518" s="275">
        <f>+G518*F518</f>
        <v>0</v>
      </c>
      <c r="I518" s="333"/>
      <c r="J518" s="333"/>
      <c r="K518" s="71"/>
      <c r="L518" s="163"/>
      <c r="M518" s="49"/>
      <c r="N518" s="86">
        <f>H518</f>
        <v>0</v>
      </c>
      <c r="O518" s="112"/>
      <c r="P518" s="86"/>
      <c r="Q518" s="87"/>
      <c r="R518" s="55"/>
      <c r="S518" s="185"/>
    </row>
    <row r="519" spans="2:19" s="5" customFormat="1">
      <c r="B519" s="294"/>
      <c r="C519" s="826"/>
      <c r="D519" s="119" t="s">
        <v>4</v>
      </c>
      <c r="E519" s="467" t="s">
        <v>33</v>
      </c>
      <c r="F519" s="331">
        <f>E517</f>
        <v>604155.24</v>
      </c>
      <c r="G519" s="275">
        <v>0</v>
      </c>
      <c r="H519" s="275">
        <f>+G519*F519</f>
        <v>0</v>
      </c>
      <c r="I519" s="333"/>
      <c r="J519" s="333"/>
      <c r="K519" s="71"/>
      <c r="L519" s="163"/>
      <c r="M519" s="49"/>
      <c r="N519" s="86"/>
      <c r="O519" s="112">
        <f>H519</f>
        <v>0</v>
      </c>
      <c r="P519" s="86"/>
      <c r="Q519" s="87"/>
      <c r="R519" s="55"/>
      <c r="S519" s="185"/>
    </row>
    <row r="520" spans="2:19" s="5" customFormat="1">
      <c r="B520" s="294"/>
      <c r="C520" s="826"/>
      <c r="D520" s="119" t="s">
        <v>34</v>
      </c>
      <c r="E520" s="468">
        <v>0</v>
      </c>
      <c r="F520" s="331">
        <f>E517/44*1.5</f>
        <v>20596.201363636363</v>
      </c>
      <c r="G520" s="334">
        <v>0</v>
      </c>
      <c r="H520" s="275">
        <f>+G520*F520*E520</f>
        <v>0</v>
      </c>
      <c r="I520" s="333"/>
      <c r="J520" s="333"/>
      <c r="K520" s="71"/>
      <c r="L520" s="163"/>
      <c r="M520" s="49"/>
      <c r="N520" s="86"/>
      <c r="O520" s="112">
        <f>H520</f>
        <v>0</v>
      </c>
      <c r="P520" s="86"/>
      <c r="Q520" s="87"/>
      <c r="R520" s="55"/>
      <c r="S520" s="185"/>
    </row>
    <row r="521" spans="2:19" s="5" customFormat="1">
      <c r="B521" s="294"/>
      <c r="C521" s="826"/>
      <c r="D521" s="119" t="s">
        <v>1</v>
      </c>
      <c r="E521" s="469" t="s">
        <v>35</v>
      </c>
      <c r="F521" s="331">
        <f>E517/5*1.5</f>
        <v>181246.57199999999</v>
      </c>
      <c r="G521" s="275">
        <f>$H$3</f>
        <v>0</v>
      </c>
      <c r="H521" s="275">
        <f>+G521*F521</f>
        <v>0</v>
      </c>
      <c r="I521" s="333"/>
      <c r="J521" s="333"/>
      <c r="K521" s="71"/>
      <c r="L521" s="163"/>
      <c r="M521" s="49"/>
      <c r="N521" s="86"/>
      <c r="O521" s="112">
        <f>H521</f>
        <v>0</v>
      </c>
      <c r="P521" s="86"/>
      <c r="Q521" s="87"/>
      <c r="R521" s="55"/>
      <c r="S521" s="185"/>
    </row>
    <row r="522" spans="2:19" s="5" customFormat="1">
      <c r="B522" s="294"/>
      <c r="C522" s="826"/>
      <c r="D522" s="119" t="s">
        <v>5</v>
      </c>
      <c r="E522" s="469" t="s">
        <v>35</v>
      </c>
      <c r="F522" s="331">
        <f>E517/5*2</f>
        <v>241662.09599999999</v>
      </c>
      <c r="G522" s="275">
        <f>$H$4</f>
        <v>0</v>
      </c>
      <c r="H522" s="275">
        <f>+G522*F522</f>
        <v>0</v>
      </c>
      <c r="I522" s="333"/>
      <c r="J522" s="333"/>
      <c r="K522" s="71"/>
      <c r="L522" s="163"/>
      <c r="M522" s="49"/>
      <c r="N522" s="86"/>
      <c r="O522" s="112">
        <f>H522</f>
        <v>0</v>
      </c>
      <c r="P522" s="86"/>
      <c r="Q522" s="87"/>
      <c r="R522" s="55"/>
      <c r="S522" s="185"/>
    </row>
    <row r="523" spans="2:19" s="5" customFormat="1">
      <c r="B523" s="294"/>
      <c r="C523" s="826"/>
      <c r="D523" s="119" t="s">
        <v>6</v>
      </c>
      <c r="E523" s="467" t="s">
        <v>33</v>
      </c>
      <c r="F523" s="331">
        <f>E517</f>
        <v>604155.24</v>
      </c>
      <c r="G523" s="275">
        <v>7</v>
      </c>
      <c r="H523" s="275">
        <f>+G523*F523</f>
        <v>4229086.68</v>
      </c>
      <c r="I523" s="333"/>
      <c r="J523" s="333"/>
      <c r="K523" s="71"/>
      <c r="L523" s="163"/>
      <c r="M523" s="49"/>
      <c r="N523" s="86"/>
      <c r="O523" s="112"/>
      <c r="P523" s="86">
        <f>SUM(H523)</f>
        <v>4229086.68</v>
      </c>
      <c r="Q523" s="87"/>
      <c r="R523" s="55"/>
      <c r="S523" s="185"/>
    </row>
    <row r="524" spans="2:19" s="5" customFormat="1">
      <c r="B524" s="294"/>
      <c r="C524" s="826"/>
      <c r="D524" s="119" t="s">
        <v>36</v>
      </c>
      <c r="E524" s="469" t="s">
        <v>21</v>
      </c>
      <c r="F524" s="275">
        <f>G518+G519+G523</f>
        <v>7</v>
      </c>
      <c r="G524" s="336" t="s">
        <v>37</v>
      </c>
      <c r="H524" s="275">
        <f>SUM(H518:H523)</f>
        <v>4229086.68</v>
      </c>
      <c r="I524" s="332"/>
      <c r="J524" s="333"/>
      <c r="K524" s="71"/>
      <c r="L524" s="163"/>
      <c r="M524" s="49"/>
      <c r="N524" s="114"/>
      <c r="O524" s="115"/>
      <c r="P524" s="112"/>
      <c r="Q524" s="87"/>
      <c r="R524" s="55"/>
      <c r="S524" s="185"/>
    </row>
    <row r="525" spans="2:19" s="5" customFormat="1">
      <c r="B525" s="294"/>
      <c r="C525" s="826"/>
      <c r="D525" s="131" t="s">
        <v>38</v>
      </c>
      <c r="E525" s="469" t="s">
        <v>21</v>
      </c>
      <c r="F525" s="331">
        <f>SUM(H518:H523)</f>
        <v>4229086.68</v>
      </c>
      <c r="G525" s="337">
        <f>$G$21</f>
        <v>8.3299999999999999E-2</v>
      </c>
      <c r="H525" s="275">
        <f>+G525*F525</f>
        <v>352282.92044399999</v>
      </c>
      <c r="I525" s="338"/>
      <c r="J525" s="338"/>
      <c r="K525" s="71"/>
      <c r="L525" s="163"/>
      <c r="M525" s="49"/>
      <c r="N525" s="86"/>
      <c r="O525" s="117"/>
      <c r="P525" s="97">
        <f>H525</f>
        <v>352282.92044399999</v>
      </c>
      <c r="Q525" s="105"/>
      <c r="R525" s="55"/>
      <c r="S525" s="185"/>
    </row>
    <row r="526" spans="2:19" s="5" customFormat="1">
      <c r="B526" s="294"/>
      <c r="C526" s="826"/>
      <c r="D526" s="131" t="s">
        <v>39</v>
      </c>
      <c r="E526" s="470">
        <f>F525/(5*F524)</f>
        <v>120831.048</v>
      </c>
      <c r="F526" s="331">
        <f>E526*(F524*7)</f>
        <v>5920721.352</v>
      </c>
      <c r="G526" s="339">
        <f>$G$22</f>
        <v>20</v>
      </c>
      <c r="H526" s="275">
        <f>F526/G526</f>
        <v>296036.06760000001</v>
      </c>
      <c r="I526" s="340">
        <v>0</v>
      </c>
      <c r="J526" s="340"/>
      <c r="K526" s="71">
        <f>SUM(G518:G526)</f>
        <v>27.083300000000001</v>
      </c>
      <c r="L526" s="163"/>
      <c r="M526" s="49"/>
      <c r="N526" s="86"/>
      <c r="O526" s="117"/>
      <c r="P526" s="97">
        <f>H526</f>
        <v>296036.06760000001</v>
      </c>
      <c r="Q526" s="105"/>
      <c r="R526" s="55"/>
      <c r="S526" s="185"/>
    </row>
    <row r="527" spans="2:19" s="5" customFormat="1">
      <c r="B527" s="297"/>
      <c r="C527" s="826"/>
      <c r="D527" s="131" t="s">
        <v>354</v>
      </c>
      <c r="E527" s="470">
        <v>8.3333333333333329E-2</v>
      </c>
      <c r="F527" s="331">
        <f>H526</f>
        <v>296036.06760000001</v>
      </c>
      <c r="G527" s="439">
        <v>1</v>
      </c>
      <c r="H527" s="275">
        <f>F527*E527</f>
        <v>24669.672299999998</v>
      </c>
      <c r="I527" s="340">
        <v>0</v>
      </c>
      <c r="J527" s="340">
        <f>SUM(H524:H527)</f>
        <v>4902075.3403439987</v>
      </c>
      <c r="K527" s="71">
        <f>SUM(G519:G527)</f>
        <v>28.083300000000001</v>
      </c>
      <c r="L527" s="163"/>
      <c r="M527" s="49"/>
      <c r="N527" s="86"/>
      <c r="O527" s="117"/>
      <c r="P527" s="97">
        <f>H527</f>
        <v>24669.672299999998</v>
      </c>
      <c r="Q527" s="105"/>
      <c r="R527" s="55"/>
      <c r="S527" s="185"/>
    </row>
    <row r="528" spans="2:19" s="5" customFormat="1">
      <c r="B528" s="294"/>
      <c r="C528" s="826"/>
      <c r="D528" s="119"/>
      <c r="E528" s="471"/>
      <c r="F528" s="341"/>
      <c r="G528" s="342"/>
      <c r="H528" s="343"/>
      <c r="I528" s="333"/>
      <c r="J528" s="333"/>
      <c r="K528" s="71"/>
      <c r="L528" s="163"/>
      <c r="M528" s="49"/>
      <c r="N528" s="103"/>
      <c r="O528" s="104"/>
      <c r="P528" s="104"/>
      <c r="Q528" s="105"/>
      <c r="R528" s="55"/>
      <c r="S528" s="185"/>
    </row>
    <row r="529" spans="2:19" s="5" customFormat="1" ht="15" customHeight="1">
      <c r="B529" s="398">
        <v>45</v>
      </c>
      <c r="C529" s="1006">
        <v>1</v>
      </c>
      <c r="D529" s="122" t="s">
        <v>78</v>
      </c>
      <c r="E529" s="467">
        <f>'SICA a Marzo2026'!E49</f>
        <v>892762.56</v>
      </c>
      <c r="F529" s="341"/>
      <c r="G529" s="344"/>
      <c r="H529" s="345"/>
      <c r="I529" s="346"/>
      <c r="J529" s="346"/>
      <c r="K529" s="71"/>
      <c r="L529" s="163"/>
      <c r="M529" s="16"/>
      <c r="N529" s="103"/>
      <c r="O529" s="104"/>
      <c r="P529" s="104"/>
      <c r="Q529" s="105"/>
      <c r="R529" s="22"/>
      <c r="S529" s="185"/>
    </row>
    <row r="530" spans="2:19" s="5" customFormat="1">
      <c r="B530" s="294"/>
      <c r="C530" s="807"/>
      <c r="D530" s="119" t="s">
        <v>0</v>
      </c>
      <c r="E530" s="467" t="s">
        <v>33</v>
      </c>
      <c r="F530" s="331">
        <f>E529</f>
        <v>892762.56</v>
      </c>
      <c r="G530" s="275">
        <f>$F$3-F3</f>
        <v>0</v>
      </c>
      <c r="H530" s="275">
        <f>+G530*F530</f>
        <v>0</v>
      </c>
      <c r="I530" s="333"/>
      <c r="J530" s="333"/>
      <c r="K530" s="71"/>
      <c r="L530" s="163"/>
      <c r="M530" s="49"/>
      <c r="N530" s="86">
        <f>H530</f>
        <v>0</v>
      </c>
      <c r="O530" s="112"/>
      <c r="P530" s="86"/>
      <c r="Q530" s="87"/>
      <c r="R530" s="55"/>
      <c r="S530" s="185"/>
    </row>
    <row r="531" spans="2:19" s="5" customFormat="1">
      <c r="B531" s="294"/>
      <c r="C531" s="807"/>
      <c r="D531" s="119" t="s">
        <v>4</v>
      </c>
      <c r="E531" s="467" t="s">
        <v>33</v>
      </c>
      <c r="F531" s="331">
        <f>E529</f>
        <v>892762.56</v>
      </c>
      <c r="G531" s="275">
        <v>4</v>
      </c>
      <c r="H531" s="275">
        <f>+G531*F531</f>
        <v>3571050.24</v>
      </c>
      <c r="I531" s="333"/>
      <c r="J531" s="333"/>
      <c r="K531" s="71"/>
      <c r="L531" s="163"/>
      <c r="M531" s="49"/>
      <c r="N531" s="86"/>
      <c r="O531" s="112">
        <f>H531</f>
        <v>3571050.24</v>
      </c>
      <c r="P531" s="86"/>
      <c r="Q531" s="87"/>
      <c r="R531" s="55"/>
      <c r="S531" s="185"/>
    </row>
    <row r="532" spans="2:19" s="5" customFormat="1">
      <c r="B532" s="294"/>
      <c r="C532" s="807"/>
      <c r="D532" s="119" t="s">
        <v>34</v>
      </c>
      <c r="E532" s="468">
        <f>$H$5-H5</f>
        <v>0</v>
      </c>
      <c r="F532" s="331">
        <f>E529/44*1.5</f>
        <v>30435.087272727273</v>
      </c>
      <c r="G532" s="334">
        <f>$F$4-F4</f>
        <v>0</v>
      </c>
      <c r="H532" s="275">
        <f>+G532*F532*E532</f>
        <v>0</v>
      </c>
      <c r="I532" s="333"/>
      <c r="J532" s="333"/>
      <c r="K532" s="71"/>
      <c r="L532" s="163"/>
      <c r="M532" s="49"/>
      <c r="N532" s="86"/>
      <c r="O532" s="112">
        <f>H532</f>
        <v>0</v>
      </c>
      <c r="P532" s="86"/>
      <c r="Q532" s="87"/>
      <c r="R532" s="55"/>
      <c r="S532" s="185"/>
    </row>
    <row r="533" spans="2:19" s="5" customFormat="1">
      <c r="B533" s="294"/>
      <c r="C533" s="807"/>
      <c r="D533" s="119" t="s">
        <v>1</v>
      </c>
      <c r="E533" s="467" t="s">
        <v>65</v>
      </c>
      <c r="F533" s="331">
        <f>E529/5*1.5</f>
        <v>267828.76800000004</v>
      </c>
      <c r="G533" s="275">
        <f>$H$3</f>
        <v>0</v>
      </c>
      <c r="H533" s="275">
        <f>+G533*F533</f>
        <v>0</v>
      </c>
      <c r="I533" s="333"/>
      <c r="J533" s="333"/>
      <c r="K533" s="71"/>
      <c r="L533" s="163"/>
      <c r="M533" s="49"/>
      <c r="N533" s="86"/>
      <c r="O533" s="112">
        <f>H533</f>
        <v>0</v>
      </c>
      <c r="P533" s="86"/>
      <c r="Q533" s="87"/>
      <c r="R533" s="55"/>
      <c r="S533" s="185"/>
    </row>
    <row r="534" spans="2:19" s="5" customFormat="1">
      <c r="B534" s="294"/>
      <c r="C534" s="807"/>
      <c r="D534" s="119" t="s">
        <v>5</v>
      </c>
      <c r="E534" s="467" t="s">
        <v>65</v>
      </c>
      <c r="F534" s="331">
        <f>E529/5*2</f>
        <v>357105.02400000003</v>
      </c>
      <c r="G534" s="275">
        <f>$H$4</f>
        <v>0</v>
      </c>
      <c r="H534" s="275">
        <f>+G534*F534</f>
        <v>0</v>
      </c>
      <c r="I534" s="333"/>
      <c r="J534" s="333"/>
      <c r="K534" s="71"/>
      <c r="L534" s="163"/>
      <c r="M534" s="49"/>
      <c r="N534" s="86"/>
      <c r="O534" s="112">
        <f>H534</f>
        <v>0</v>
      </c>
      <c r="P534" s="86"/>
      <c r="Q534" s="87"/>
      <c r="R534" s="55"/>
      <c r="S534" s="185"/>
    </row>
    <row r="535" spans="2:19" s="5" customFormat="1">
      <c r="B535" s="294"/>
      <c r="C535" s="807"/>
      <c r="D535" s="119" t="s">
        <v>6</v>
      </c>
      <c r="E535" s="467" t="s">
        <v>33</v>
      </c>
      <c r="F535" s="331">
        <f>E529</f>
        <v>892762.56</v>
      </c>
      <c r="G535" s="349">
        <v>11</v>
      </c>
      <c r="H535" s="275">
        <f>+G535*F535</f>
        <v>9820388.1600000001</v>
      </c>
      <c r="I535" s="333"/>
      <c r="J535" s="333"/>
      <c r="K535" s="71"/>
      <c r="L535" s="163"/>
      <c r="M535" s="49"/>
      <c r="N535" s="86"/>
      <c r="O535" s="112"/>
      <c r="P535" s="86">
        <f>SUM(H535)</f>
        <v>9820388.1600000001</v>
      </c>
      <c r="Q535" s="87"/>
      <c r="R535" s="55"/>
      <c r="S535" s="185"/>
    </row>
    <row r="536" spans="2:19" s="5" customFormat="1">
      <c r="B536" s="294"/>
      <c r="C536" s="807"/>
      <c r="D536" s="119" t="s">
        <v>36</v>
      </c>
      <c r="E536" s="469" t="s">
        <v>21</v>
      </c>
      <c r="F536" s="275">
        <f>G530+G531+G535</f>
        <v>15</v>
      </c>
      <c r="G536" s="336" t="s">
        <v>37</v>
      </c>
      <c r="H536" s="275">
        <f>SUM(H530:H535)</f>
        <v>13391438.4</v>
      </c>
      <c r="I536" s="332"/>
      <c r="J536" s="333"/>
      <c r="K536" s="71"/>
      <c r="L536" s="163"/>
      <c r="M536" s="49"/>
      <c r="N536" s="114"/>
      <c r="O536" s="115"/>
      <c r="P536" s="112"/>
      <c r="Q536" s="87"/>
      <c r="R536" s="55"/>
      <c r="S536" s="185"/>
    </row>
    <row r="537" spans="2:19" s="5" customFormat="1">
      <c r="B537" s="294"/>
      <c r="C537" s="807"/>
      <c r="D537" s="131" t="s">
        <v>38</v>
      </c>
      <c r="E537" s="469" t="s">
        <v>21</v>
      </c>
      <c r="F537" s="331">
        <f>SUM(H530:H535)</f>
        <v>13391438.4</v>
      </c>
      <c r="G537" s="337">
        <f>$G$21</f>
        <v>8.3299999999999999E-2</v>
      </c>
      <c r="H537" s="275">
        <f>+G537*F537</f>
        <v>1115506.8187200001</v>
      </c>
      <c r="I537" s="338"/>
      <c r="J537" s="338"/>
      <c r="K537" s="71"/>
      <c r="L537" s="163"/>
      <c r="M537" s="49"/>
      <c r="N537" s="86"/>
      <c r="O537" s="117"/>
      <c r="P537" s="97">
        <f>H537</f>
        <v>1115506.8187200001</v>
      </c>
      <c r="Q537" s="105"/>
      <c r="R537" s="55"/>
      <c r="S537" s="185"/>
    </row>
    <row r="538" spans="2:19" s="5" customFormat="1">
      <c r="B538" s="294"/>
      <c r="C538" s="807"/>
      <c r="D538" s="131" t="s">
        <v>39</v>
      </c>
      <c r="E538" s="470">
        <f>F537/(5*F536)</f>
        <v>178552.51200000002</v>
      </c>
      <c r="F538" s="331">
        <f>E538*(F536*7)</f>
        <v>18748013.760000002</v>
      </c>
      <c r="G538" s="339">
        <f>$G$22</f>
        <v>20</v>
      </c>
      <c r="H538" s="275">
        <f>F538/G538</f>
        <v>937400.68800000008</v>
      </c>
      <c r="I538" s="340">
        <v>0</v>
      </c>
      <c r="J538" s="340"/>
      <c r="K538" s="71">
        <f>SUM(G530:G538)</f>
        <v>35.083300000000001</v>
      </c>
      <c r="L538" s="163"/>
      <c r="M538" s="49"/>
      <c r="N538" s="86"/>
      <c r="O538" s="117"/>
      <c r="P538" s="97">
        <f>H538</f>
        <v>937400.68800000008</v>
      </c>
      <c r="Q538" s="105"/>
      <c r="R538" s="55"/>
      <c r="S538" s="185"/>
    </row>
    <row r="539" spans="2:19" s="5" customFormat="1">
      <c r="B539" s="297"/>
      <c r="C539" s="826"/>
      <c r="D539" s="131" t="s">
        <v>354</v>
      </c>
      <c r="E539" s="470">
        <v>8.3333333333333329E-2</v>
      </c>
      <c r="F539" s="331">
        <f>H538</f>
        <v>937400.68800000008</v>
      </c>
      <c r="G539" s="439">
        <v>1</v>
      </c>
      <c r="H539" s="275">
        <f>F539*E539</f>
        <v>78116.724000000002</v>
      </c>
      <c r="I539" s="340">
        <v>0</v>
      </c>
      <c r="J539" s="340">
        <f>SUM(H536:H539)</f>
        <v>15522462.630720001</v>
      </c>
      <c r="K539" s="71">
        <f>SUM(G531:G539)</f>
        <v>36.083300000000001</v>
      </c>
      <c r="L539" s="163"/>
      <c r="M539" s="49"/>
      <c r="N539" s="86"/>
      <c r="O539" s="117"/>
      <c r="P539" s="97">
        <f>H539</f>
        <v>78116.724000000002</v>
      </c>
      <c r="Q539" s="105"/>
      <c r="R539" s="55"/>
      <c r="S539" s="185"/>
    </row>
    <row r="540" spans="2:19" s="5" customFormat="1">
      <c r="B540" s="294"/>
      <c r="C540" s="807"/>
      <c r="D540" s="119"/>
      <c r="E540" s="471"/>
      <c r="F540" s="341"/>
      <c r="G540" s="342"/>
      <c r="H540" s="343"/>
      <c r="I540" s="333"/>
      <c r="J540" s="333"/>
      <c r="K540" s="71"/>
      <c r="L540" s="163"/>
      <c r="M540" s="49"/>
      <c r="N540" s="103"/>
      <c r="O540" s="104"/>
      <c r="P540" s="104"/>
      <c r="Q540" s="105"/>
      <c r="R540" s="55"/>
      <c r="S540" s="185"/>
    </row>
    <row r="541" spans="2:19" s="5" customFormat="1" ht="15" customHeight="1">
      <c r="B541" s="398">
        <v>46</v>
      </c>
      <c r="C541" s="1006">
        <v>1</v>
      </c>
      <c r="D541" s="122" t="s">
        <v>79</v>
      </c>
      <c r="E541" s="467">
        <f>'SICA a Marzo2026'!E50</f>
        <v>612539.28</v>
      </c>
      <c r="F541" s="341"/>
      <c r="G541" s="344"/>
      <c r="H541" s="345"/>
      <c r="I541" s="346"/>
      <c r="J541" s="346"/>
      <c r="K541" s="71"/>
      <c r="L541" s="163"/>
      <c r="M541" s="16"/>
      <c r="N541" s="103"/>
      <c r="O541" s="104"/>
      <c r="P541" s="104"/>
      <c r="Q541" s="105"/>
      <c r="R541" s="22"/>
      <c r="S541" s="185"/>
    </row>
    <row r="542" spans="2:19" s="5" customFormat="1">
      <c r="B542" s="294"/>
      <c r="C542" s="807"/>
      <c r="D542" s="119" t="s">
        <v>0</v>
      </c>
      <c r="E542" s="467" t="s">
        <v>33</v>
      </c>
      <c r="F542" s="331">
        <f>E541</f>
        <v>612539.28</v>
      </c>
      <c r="G542" s="275">
        <v>0</v>
      </c>
      <c r="H542" s="275">
        <f>+G542*F542</f>
        <v>0</v>
      </c>
      <c r="I542" s="333"/>
      <c r="J542" s="333"/>
      <c r="K542" s="71"/>
      <c r="L542" s="163"/>
      <c r="M542" s="49"/>
      <c r="N542" s="86">
        <f>H542</f>
        <v>0</v>
      </c>
      <c r="O542" s="112"/>
      <c r="P542" s="86"/>
      <c r="Q542" s="87"/>
      <c r="R542" s="55"/>
      <c r="S542" s="185"/>
    </row>
    <row r="543" spans="2:19" s="5" customFormat="1">
      <c r="B543" s="294"/>
      <c r="C543" s="807"/>
      <c r="D543" s="119" t="s">
        <v>4</v>
      </c>
      <c r="E543" s="467" t="s">
        <v>33</v>
      </c>
      <c r="F543" s="331">
        <f>E541</f>
        <v>612539.28</v>
      </c>
      <c r="G543" s="275">
        <v>6</v>
      </c>
      <c r="H543" s="275">
        <f>+G543*F543</f>
        <v>3675235.68</v>
      </c>
      <c r="I543" s="333"/>
      <c r="J543" s="333"/>
      <c r="K543" s="71"/>
      <c r="L543" s="163"/>
      <c r="M543" s="49"/>
      <c r="N543" s="86"/>
      <c r="O543" s="112">
        <f>H543</f>
        <v>3675235.68</v>
      </c>
      <c r="P543" s="86"/>
      <c r="Q543" s="87"/>
      <c r="R543" s="55"/>
      <c r="S543" s="185"/>
    </row>
    <row r="544" spans="2:19" s="5" customFormat="1">
      <c r="B544" s="294"/>
      <c r="C544" s="807"/>
      <c r="D544" s="119" t="s">
        <v>34</v>
      </c>
      <c r="E544" s="468">
        <f>$H$5-H5</f>
        <v>0</v>
      </c>
      <c r="F544" s="331">
        <f>E541/44*1.5</f>
        <v>20882.020909090908</v>
      </c>
      <c r="G544" s="334">
        <f>$F$4-$F$4</f>
        <v>0</v>
      </c>
      <c r="H544" s="275">
        <f>+G544*F544*E544</f>
        <v>0</v>
      </c>
      <c r="I544" s="333"/>
      <c r="J544" s="333"/>
      <c r="K544" s="71"/>
      <c r="L544" s="163"/>
      <c r="M544" s="49"/>
      <c r="N544" s="86"/>
      <c r="O544" s="112">
        <f>H544</f>
        <v>0</v>
      </c>
      <c r="P544" s="86"/>
      <c r="Q544" s="87"/>
      <c r="R544" s="55"/>
      <c r="S544" s="185"/>
    </row>
    <row r="545" spans="2:19" s="5" customFormat="1">
      <c r="B545" s="294"/>
      <c r="C545" s="807"/>
      <c r="D545" s="119" t="s">
        <v>1</v>
      </c>
      <c r="E545" s="467" t="s">
        <v>65</v>
      </c>
      <c r="F545" s="331">
        <f>E541/5*1.5</f>
        <v>183761.78399999999</v>
      </c>
      <c r="G545" s="275">
        <f>$H$3</f>
        <v>0</v>
      </c>
      <c r="H545" s="275">
        <f>+G545*F545</f>
        <v>0</v>
      </c>
      <c r="I545" s="333"/>
      <c r="J545" s="333"/>
      <c r="K545" s="71"/>
      <c r="L545" s="163"/>
      <c r="M545" s="49"/>
      <c r="N545" s="86"/>
      <c r="O545" s="112">
        <f>H545</f>
        <v>0</v>
      </c>
      <c r="P545" s="86"/>
      <c r="Q545" s="87"/>
      <c r="R545" s="55"/>
      <c r="S545" s="185"/>
    </row>
    <row r="546" spans="2:19" s="5" customFormat="1">
      <c r="B546" s="294"/>
      <c r="C546" s="807"/>
      <c r="D546" s="119" t="s">
        <v>5</v>
      </c>
      <c r="E546" s="467" t="s">
        <v>65</v>
      </c>
      <c r="F546" s="331">
        <f>E541/5*2</f>
        <v>245015.712</v>
      </c>
      <c r="G546" s="275">
        <f>$H$4</f>
        <v>0</v>
      </c>
      <c r="H546" s="275">
        <f>+G546*F546</f>
        <v>0</v>
      </c>
      <c r="I546" s="333"/>
      <c r="J546" s="333"/>
      <c r="K546" s="71"/>
      <c r="L546" s="163"/>
      <c r="M546" s="49"/>
      <c r="N546" s="86"/>
      <c r="O546" s="112">
        <f>H546</f>
        <v>0</v>
      </c>
      <c r="P546" s="86"/>
      <c r="Q546" s="87"/>
      <c r="R546" s="55"/>
      <c r="S546" s="185"/>
    </row>
    <row r="547" spans="2:19" s="5" customFormat="1">
      <c r="B547" s="294"/>
      <c r="C547" s="807"/>
      <c r="D547" s="119" t="s">
        <v>6</v>
      </c>
      <c r="E547" s="467" t="s">
        <v>33</v>
      </c>
      <c r="F547" s="331">
        <f>E541</f>
        <v>612539.28</v>
      </c>
      <c r="G547" s="275">
        <v>8</v>
      </c>
      <c r="H547" s="275">
        <f>+G547*F547</f>
        <v>4900314.24</v>
      </c>
      <c r="I547" s="333"/>
      <c r="J547" s="333"/>
      <c r="K547" s="71"/>
      <c r="L547" s="163"/>
      <c r="M547" s="49"/>
      <c r="N547" s="86"/>
      <c r="O547" s="112"/>
      <c r="P547" s="86">
        <f>SUM(H547)</f>
        <v>4900314.24</v>
      </c>
      <c r="Q547" s="87"/>
      <c r="R547" s="55"/>
      <c r="S547" s="185"/>
    </row>
    <row r="548" spans="2:19" s="5" customFormat="1">
      <c r="B548" s="294"/>
      <c r="C548" s="807"/>
      <c r="D548" s="119" t="s">
        <v>36</v>
      </c>
      <c r="E548" s="469" t="s">
        <v>21</v>
      </c>
      <c r="F548" s="275">
        <f>G542+G543+G547</f>
        <v>14</v>
      </c>
      <c r="G548" s="336" t="s">
        <v>37</v>
      </c>
      <c r="H548" s="275">
        <f>SUM(H542:H547)</f>
        <v>8575549.9199999999</v>
      </c>
      <c r="I548" s="332"/>
      <c r="J548" s="333"/>
      <c r="K548" s="71"/>
      <c r="L548" s="163"/>
      <c r="M548" s="49"/>
      <c r="N548" s="114"/>
      <c r="O548" s="115"/>
      <c r="P548" s="112"/>
      <c r="Q548" s="87"/>
      <c r="R548" s="55"/>
      <c r="S548" s="185"/>
    </row>
    <row r="549" spans="2:19" s="5" customFormat="1">
      <c r="B549" s="294"/>
      <c r="C549" s="807"/>
      <c r="D549" s="131" t="s">
        <v>38</v>
      </c>
      <c r="E549" s="469" t="s">
        <v>21</v>
      </c>
      <c r="F549" s="331">
        <f>SUM(H542:H547)</f>
        <v>8575549.9199999999</v>
      </c>
      <c r="G549" s="337">
        <f>$G$21</f>
        <v>8.3299999999999999E-2</v>
      </c>
      <c r="H549" s="275">
        <f>+G549*F549</f>
        <v>714343.30833599996</v>
      </c>
      <c r="I549" s="338"/>
      <c r="J549" s="338"/>
      <c r="K549" s="71"/>
      <c r="L549" s="163"/>
      <c r="M549" s="49"/>
      <c r="N549" s="86"/>
      <c r="O549" s="117"/>
      <c r="P549" s="97">
        <f>H549</f>
        <v>714343.30833599996</v>
      </c>
      <c r="Q549" s="105"/>
      <c r="R549" s="55"/>
      <c r="S549" s="185"/>
    </row>
    <row r="550" spans="2:19" s="5" customFormat="1">
      <c r="B550" s="294"/>
      <c r="C550" s="807"/>
      <c r="D550" s="131" t="s">
        <v>39</v>
      </c>
      <c r="E550" s="470">
        <f>F549/(5*F548)</f>
        <v>122507.856</v>
      </c>
      <c r="F550" s="331">
        <f>E550*(F548*7)</f>
        <v>12005769.888</v>
      </c>
      <c r="G550" s="339">
        <f>$G$22</f>
        <v>20</v>
      </c>
      <c r="H550" s="275">
        <f>F550/G550</f>
        <v>600288.49439999997</v>
      </c>
      <c r="I550" s="340">
        <v>0</v>
      </c>
      <c r="J550" s="340"/>
      <c r="K550" s="71">
        <f>SUM(G542:G550)</f>
        <v>34.083300000000001</v>
      </c>
      <c r="L550" s="163"/>
      <c r="M550" s="49"/>
      <c r="N550" s="86"/>
      <c r="O550" s="117"/>
      <c r="P550" s="97">
        <f>H550</f>
        <v>600288.49439999997</v>
      </c>
      <c r="Q550" s="105"/>
      <c r="R550" s="55"/>
      <c r="S550" s="185"/>
    </row>
    <row r="551" spans="2:19" s="5" customFormat="1">
      <c r="B551" s="297"/>
      <c r="C551" s="826"/>
      <c r="D551" s="131" t="s">
        <v>354</v>
      </c>
      <c r="E551" s="470">
        <v>8.3333333333333329E-2</v>
      </c>
      <c r="F551" s="331">
        <f>H550</f>
        <v>600288.49439999997</v>
      </c>
      <c r="G551" s="439">
        <v>1</v>
      </c>
      <c r="H551" s="275">
        <f>F551*E551</f>
        <v>50024.041199999992</v>
      </c>
      <c r="I551" s="340">
        <v>0</v>
      </c>
      <c r="J551" s="340">
        <f>SUM(H548:H551)</f>
        <v>9940205.7639359999</v>
      </c>
      <c r="K551" s="71">
        <f>SUM(G543:G551)</f>
        <v>35.083300000000001</v>
      </c>
      <c r="L551" s="163"/>
      <c r="M551" s="49"/>
      <c r="N551" s="86"/>
      <c r="O551" s="117"/>
      <c r="P551" s="97">
        <f>H551</f>
        <v>50024.041199999992</v>
      </c>
      <c r="Q551" s="105"/>
      <c r="R551" s="55"/>
      <c r="S551" s="185"/>
    </row>
    <row r="552" spans="2:19" s="5" customFormat="1">
      <c r="B552" s="294"/>
      <c r="C552" s="807"/>
      <c r="D552" s="119"/>
      <c r="E552" s="471"/>
      <c r="F552" s="341"/>
      <c r="G552" s="342"/>
      <c r="H552" s="343"/>
      <c r="I552" s="333"/>
      <c r="J552" s="333"/>
      <c r="K552" s="71"/>
      <c r="L552" s="163"/>
      <c r="M552" s="49"/>
      <c r="N552" s="103"/>
      <c r="O552" s="104"/>
      <c r="P552" s="104"/>
      <c r="Q552" s="105"/>
      <c r="R552" s="55"/>
      <c r="S552" s="185"/>
    </row>
    <row r="553" spans="2:19" s="5" customFormat="1" ht="15" customHeight="1">
      <c r="B553" s="398">
        <v>46</v>
      </c>
      <c r="C553" s="829">
        <v>3</v>
      </c>
      <c r="D553" s="182" t="s">
        <v>291</v>
      </c>
      <c r="E553" s="467">
        <f>'SICA a Marzo2026'!E52</f>
        <v>214306.56</v>
      </c>
      <c r="F553" s="331">
        <f>E553*C553</f>
        <v>642919.67999999993</v>
      </c>
      <c r="G553" s="344"/>
      <c r="H553" s="345"/>
      <c r="I553" s="346"/>
      <c r="J553" s="346"/>
      <c r="K553" s="71"/>
      <c r="L553" s="163"/>
      <c r="M553" s="16"/>
      <c r="N553" s="103"/>
      <c r="O553" s="104"/>
      <c r="P553" s="104"/>
      <c r="Q553" s="105"/>
      <c r="R553" s="22"/>
      <c r="S553" s="185"/>
    </row>
    <row r="554" spans="2:19" s="5" customFormat="1">
      <c r="B554" s="294"/>
      <c r="C554" s="807"/>
      <c r="D554" s="119" t="s">
        <v>0</v>
      </c>
      <c r="E554" s="467" t="s">
        <v>33</v>
      </c>
      <c r="F554" s="331">
        <f>F553</f>
        <v>642919.67999999993</v>
      </c>
      <c r="G554" s="349">
        <v>6</v>
      </c>
      <c r="H554" s="275">
        <f>+G554*F554</f>
        <v>3857518.0799999996</v>
      </c>
      <c r="I554" s="333"/>
      <c r="J554" s="333"/>
      <c r="K554" s="71"/>
      <c r="L554" s="163"/>
      <c r="M554" s="49"/>
      <c r="N554" s="86">
        <f>H554</f>
        <v>3857518.0799999996</v>
      </c>
      <c r="O554" s="112"/>
      <c r="P554" s="86"/>
      <c r="Q554" s="87"/>
      <c r="R554" s="55"/>
      <c r="S554" s="185"/>
    </row>
    <row r="555" spans="2:19" s="5" customFormat="1">
      <c r="B555" s="294"/>
      <c r="C555" s="807"/>
      <c r="D555" s="119" t="s">
        <v>4</v>
      </c>
      <c r="E555" s="467" t="s">
        <v>33</v>
      </c>
      <c r="F555" s="331">
        <f>F553</f>
        <v>642919.67999999993</v>
      </c>
      <c r="G555" s="275">
        <f>$F$4</f>
        <v>6</v>
      </c>
      <c r="H555" s="275">
        <f>+G555*F555</f>
        <v>3857518.0799999996</v>
      </c>
      <c r="I555" s="333"/>
      <c r="J555" s="333"/>
      <c r="K555" s="71"/>
      <c r="L555" s="163"/>
      <c r="M555" s="49"/>
      <c r="N555" s="86"/>
      <c r="O555" s="112">
        <f>H555</f>
        <v>3857518.0799999996</v>
      </c>
      <c r="P555" s="86"/>
      <c r="Q555" s="87"/>
      <c r="R555" s="55"/>
      <c r="S555" s="185"/>
    </row>
    <row r="556" spans="2:19" s="5" customFormat="1">
      <c r="B556" s="294"/>
      <c r="C556" s="807"/>
      <c r="D556" s="119" t="s">
        <v>34</v>
      </c>
      <c r="E556" s="468">
        <f>$H$5</f>
        <v>11.25</v>
      </c>
      <c r="F556" s="331">
        <f>F553/44*1.5</f>
        <v>21917.716363636362</v>
      </c>
      <c r="G556" s="334">
        <f>$F$4</f>
        <v>6</v>
      </c>
      <c r="H556" s="275">
        <f>+G556*F556*E556</f>
        <v>1479445.8545454543</v>
      </c>
      <c r="I556" s="333"/>
      <c r="J556" s="333"/>
      <c r="K556" s="71"/>
      <c r="L556" s="163"/>
      <c r="M556" s="49"/>
      <c r="N556" s="86"/>
      <c r="O556" s="112">
        <f>H556</f>
        <v>1479445.8545454543</v>
      </c>
      <c r="P556" s="86"/>
      <c r="Q556" s="87"/>
      <c r="R556" s="55"/>
      <c r="S556" s="185"/>
    </row>
    <row r="557" spans="2:19" s="5" customFormat="1">
      <c r="B557" s="294"/>
      <c r="C557" s="807"/>
      <c r="D557" s="119" t="s">
        <v>1</v>
      </c>
      <c r="E557" s="467" t="s">
        <v>65</v>
      </c>
      <c r="F557" s="331">
        <f>F553/5*1.5</f>
        <v>192875.90399999998</v>
      </c>
      <c r="G557" s="275">
        <f>$H$3</f>
        <v>0</v>
      </c>
      <c r="H557" s="275">
        <f>+G557*F557</f>
        <v>0</v>
      </c>
      <c r="I557" s="333"/>
      <c r="J557" s="333"/>
      <c r="K557" s="71"/>
      <c r="L557" s="163"/>
      <c r="M557" s="49"/>
      <c r="N557" s="86"/>
      <c r="O557" s="112">
        <f>H557</f>
        <v>0</v>
      </c>
      <c r="P557" s="86"/>
      <c r="Q557" s="87"/>
      <c r="R557" s="55"/>
      <c r="S557" s="185"/>
    </row>
    <row r="558" spans="2:19" s="5" customFormat="1">
      <c r="B558" s="294"/>
      <c r="C558" s="807"/>
      <c r="D558" s="119" t="s">
        <v>5</v>
      </c>
      <c r="E558" s="467" t="s">
        <v>65</v>
      </c>
      <c r="F558" s="331">
        <f>F553/5*2</f>
        <v>257167.87199999997</v>
      </c>
      <c r="G558" s="275">
        <f>$H$4</f>
        <v>0</v>
      </c>
      <c r="H558" s="275">
        <f>+G558*F558</f>
        <v>0</v>
      </c>
      <c r="I558" s="333"/>
      <c r="J558" s="333"/>
      <c r="K558" s="71"/>
      <c r="L558" s="163"/>
      <c r="M558" s="49"/>
      <c r="N558" s="86"/>
      <c r="O558" s="112">
        <f>H558</f>
        <v>0</v>
      </c>
      <c r="P558" s="86"/>
      <c r="Q558" s="87"/>
      <c r="R558" s="55"/>
      <c r="S558" s="185"/>
    </row>
    <row r="559" spans="2:19" s="5" customFormat="1">
      <c r="B559" s="294"/>
      <c r="C559" s="807"/>
      <c r="D559" s="119" t="s">
        <v>6</v>
      </c>
      <c r="E559" s="467" t="s">
        <v>33</v>
      </c>
      <c r="F559" s="331">
        <f>F553</f>
        <v>642919.67999999993</v>
      </c>
      <c r="G559" s="275">
        <f>$H$4</f>
        <v>0</v>
      </c>
      <c r="H559" s="275">
        <f>+G559*F559</f>
        <v>0</v>
      </c>
      <c r="I559" s="333"/>
      <c r="J559" s="333"/>
      <c r="K559" s="71"/>
      <c r="L559" s="163"/>
      <c r="M559" s="49"/>
      <c r="N559" s="86"/>
      <c r="O559" s="112"/>
      <c r="P559" s="86">
        <f>SUM(H559)</f>
        <v>0</v>
      </c>
      <c r="Q559" s="87"/>
      <c r="R559" s="55"/>
      <c r="S559" s="185"/>
    </row>
    <row r="560" spans="2:19" s="5" customFormat="1">
      <c r="B560" s="294"/>
      <c r="C560" s="807"/>
      <c r="D560" s="119" t="s">
        <v>36</v>
      </c>
      <c r="E560" s="469" t="s">
        <v>21</v>
      </c>
      <c r="F560" s="275">
        <f>G554+G555+G559</f>
        <v>12</v>
      </c>
      <c r="G560" s="336" t="s">
        <v>37</v>
      </c>
      <c r="H560" s="275">
        <f>SUM(H554:H559)</f>
        <v>9194482.0145454537</v>
      </c>
      <c r="I560" s="332"/>
      <c r="J560" s="333"/>
      <c r="K560" s="71"/>
      <c r="L560" s="163"/>
      <c r="M560" s="49"/>
      <c r="N560" s="114"/>
      <c r="O560" s="115"/>
      <c r="P560" s="112"/>
      <c r="Q560" s="87"/>
      <c r="R560" s="55"/>
      <c r="S560" s="185"/>
    </row>
    <row r="561" spans="1:20" s="5" customFormat="1">
      <c r="B561" s="294"/>
      <c r="C561" s="807"/>
      <c r="D561" s="131" t="s">
        <v>38</v>
      </c>
      <c r="E561" s="469" t="s">
        <v>21</v>
      </c>
      <c r="F561" s="331">
        <f>SUM(H554:H559)</f>
        <v>9194482.0145454537</v>
      </c>
      <c r="G561" s="337">
        <f>$G$21</f>
        <v>8.3299999999999999E-2</v>
      </c>
      <c r="H561" s="275">
        <f>+G561*F561</f>
        <v>765900.35181163624</v>
      </c>
      <c r="I561" s="338"/>
      <c r="J561" s="338"/>
      <c r="K561" s="71"/>
      <c r="L561" s="163"/>
      <c r="M561" s="49"/>
      <c r="N561" s="86"/>
      <c r="O561" s="117"/>
      <c r="P561" s="97">
        <f>H561</f>
        <v>765900.35181163624</v>
      </c>
      <c r="Q561" s="105"/>
      <c r="R561" s="55"/>
      <c r="S561" s="185"/>
    </row>
    <row r="562" spans="1:20" s="5" customFormat="1">
      <c r="B562" s="294"/>
      <c r="C562" s="807"/>
      <c r="D562" s="131" t="s">
        <v>39</v>
      </c>
      <c r="E562" s="470">
        <f>F561/(5*F560)</f>
        <v>153241.3669090909</v>
      </c>
      <c r="F562" s="331">
        <f>E562*(F560*7)</f>
        <v>12872274.820363635</v>
      </c>
      <c r="G562" s="339">
        <f>$G$22</f>
        <v>20</v>
      </c>
      <c r="H562" s="275">
        <f>F562/G562</f>
        <v>643613.74101818178</v>
      </c>
      <c r="I562" s="340">
        <v>0</v>
      </c>
      <c r="J562" s="340"/>
      <c r="K562" s="71">
        <f>SUM(G554:G562)</f>
        <v>38.083300000000001</v>
      </c>
      <c r="L562" s="163"/>
      <c r="M562" s="49"/>
      <c r="N562" s="86"/>
      <c r="O562" s="117"/>
      <c r="P562" s="97">
        <f>H562</f>
        <v>643613.74101818178</v>
      </c>
      <c r="Q562" s="105"/>
      <c r="R562" s="55"/>
      <c r="S562" s="185"/>
    </row>
    <row r="563" spans="1:20" s="5" customFormat="1">
      <c r="B563" s="297"/>
      <c r="C563" s="826"/>
      <c r="D563" s="131" t="s">
        <v>354</v>
      </c>
      <c r="E563" s="470">
        <v>8.3333333333333329E-2</v>
      </c>
      <c r="F563" s="331">
        <f>H562</f>
        <v>643613.74101818178</v>
      </c>
      <c r="G563" s="439">
        <v>1</v>
      </c>
      <c r="H563" s="275">
        <f>F563*E563</f>
        <v>53634.47841818181</v>
      </c>
      <c r="I563" s="340">
        <v>0</v>
      </c>
      <c r="J563" s="340">
        <f>SUM(H560:H563)</f>
        <v>10657630.585793454</v>
      </c>
      <c r="K563" s="71">
        <f>SUM(G555:G563)</f>
        <v>33.083300000000001</v>
      </c>
      <c r="L563" s="163"/>
      <c r="M563" s="49"/>
      <c r="N563" s="86"/>
      <c r="O563" s="117"/>
      <c r="P563" s="97">
        <f>H563</f>
        <v>53634.47841818181</v>
      </c>
      <c r="Q563" s="105"/>
      <c r="R563" s="55"/>
      <c r="S563" s="185"/>
    </row>
    <row r="564" spans="1:20" s="67" customFormat="1" ht="15" customHeight="1">
      <c r="A564" s="63"/>
      <c r="B564" s="294"/>
      <c r="C564" s="1007">
        <f>SUM(C13:C562)</f>
        <v>51</v>
      </c>
      <c r="D564" s="465"/>
      <c r="E564" s="479"/>
      <c r="F564" s="1053" t="s">
        <v>80</v>
      </c>
      <c r="G564" s="1053"/>
      <c r="H564" s="384">
        <f>H20+H21+H22+H32+H33+H34+H44+H45+H46+H56+H57+H58+H68+H69+H70+H80+H81+H82+H92+H93+H94+H104+H105+H106+H116+H117+H118+H128+H129+H130+H140+H141+H142+H152+H153+H154+H164+H165+H166+H176+H177+H178+H188+H189+H190+H200+H201+H202+H212+H213+H214+H224+H225+H226+H236+H237+H238+H248+H249+H250+H260+H261+H262+H272+H273+H274+H284+H285+H286+H296+H297+H298+H308+H309+H310+H320+H321+H322+H332+H333+H334+H344+H345+H346+H356+H357+H358+H368+H369+H370+H380+H381+H382+H392+H393+H394+H404+H405+H406+H416+H417+H418+H428+H429+H430+H440+H441+H442+H452+H453+H454+H464+H465+H466+H476+H477+H478+H488+H489+H490+H502+H501+H500+H514+H513+H512+H524+H525+H526+H536+H537+H538+H548+H549+H550+H560+H561+H562+H23+H35+H47+H59+H71+H83+H95+H107+H119+H131+H143+H155+H167+H179+H191+H203+H215+H227+H239+H251+H263+H275+H287+H299+H311+H323+H335+H347+H359+H371+H383+H395+H407+H419+H431+H443+H455+H467+H479+H491+H503+H515+H527+H539+H551+H563</f>
        <v>407498297.48448205</v>
      </c>
      <c r="I564" s="330">
        <f>SUM(I13:I562)</f>
        <v>0</v>
      </c>
      <c r="J564" s="330">
        <f>SUM(J12:J563)</f>
        <v>407498297.48448211</v>
      </c>
      <c r="K564" s="71"/>
      <c r="L564" s="165"/>
      <c r="M564" s="64"/>
      <c r="N564" s="94">
        <f>SUM(N13:N562)</f>
        <v>99570340.200000003</v>
      </c>
      <c r="O564" s="95">
        <f>SUM(O13:O562)</f>
        <v>214341076.0914546</v>
      </c>
      <c r="P564" s="96">
        <f>SUM(P13:P563)</f>
        <v>93586881.193027571</v>
      </c>
      <c r="Q564" s="379">
        <f>SUM(N564:P564)</f>
        <v>407498297.48448217</v>
      </c>
      <c r="R564" s="66"/>
      <c r="S564" s="186"/>
      <c r="T564" s="159"/>
    </row>
    <row r="565" spans="1:20" ht="14.25">
      <c r="B565" s="296"/>
      <c r="D565" s="170"/>
      <c r="E565" s="1"/>
      <c r="F565" s="1"/>
      <c r="G565" s="173"/>
      <c r="H565" s="174"/>
      <c r="I565" s="175"/>
      <c r="J565" s="176"/>
      <c r="K565" s="176"/>
      <c r="L565" s="177"/>
      <c r="M565" s="169"/>
      <c r="N565" s="135"/>
      <c r="O565" s="135"/>
      <c r="P565" s="135"/>
      <c r="Q565" s="178"/>
      <c r="R565" s="179"/>
    </row>
    <row r="566" spans="1:20" ht="15" thickBot="1">
      <c r="B566" s="298"/>
      <c r="C566" s="1008"/>
      <c r="D566" s="156"/>
      <c r="E566" s="157"/>
      <c r="F566" s="353"/>
      <c r="G566" s="156"/>
      <c r="H566" s="156"/>
      <c r="I566" s="158"/>
      <c r="J566" s="158"/>
      <c r="K566" s="355"/>
      <c r="L566" s="356"/>
      <c r="M566" s="298"/>
      <c r="N566" s="68"/>
      <c r="O566" s="156"/>
      <c r="P566" s="157"/>
      <c r="Q566" s="353"/>
      <c r="R566" s="158"/>
      <c r="S566" s="290"/>
    </row>
    <row r="567" spans="1:20" ht="13.5" thickTop="1">
      <c r="B567" s="220"/>
      <c r="C567" s="826"/>
      <c r="D567" s="7"/>
      <c r="E567" s="8"/>
      <c r="G567" s="7"/>
      <c r="H567" s="1"/>
      <c r="I567" s="1"/>
      <c r="J567" s="1"/>
      <c r="M567" s="220"/>
      <c r="N567" s="6"/>
      <c r="O567" s="7"/>
      <c r="P567" s="8"/>
      <c r="Q567" s="2"/>
      <c r="R567" s="8"/>
      <c r="S567" s="1"/>
    </row>
  </sheetData>
  <sheetProtection selectLockedCells="1" selectUnlockedCells="1"/>
  <mergeCells count="5">
    <mergeCell ref="F564:G564"/>
    <mergeCell ref="C3:C5"/>
    <mergeCell ref="D3:D5"/>
    <mergeCell ref="N3:Q5"/>
    <mergeCell ref="N8:Q8"/>
  </mergeCells>
  <pageMargins left="0.97986111111111107" right="0" top="0.39305555555555555" bottom="0.39305555555555555" header="0.51180555555555551" footer="0.51180555555555551"/>
  <pageSetup paperSize="9" scale="53" firstPageNumber="0" fitToHeight="17" orientation="landscape" horizontalDpi="300" verticalDpi="300" r:id="rId1"/>
  <headerFooter alignWithMargins="0"/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52"/>
  <sheetViews>
    <sheetView workbookViewId="0">
      <selection activeCell="E3" sqref="E3"/>
    </sheetView>
  </sheetViews>
  <sheetFormatPr baseColWidth="10" defaultColWidth="8" defaultRowHeight="18"/>
  <cols>
    <col min="1" max="1" width="3" style="406" bestFit="1" customWidth="1"/>
    <col min="2" max="2" width="13.42578125" style="407" bestFit="1" customWidth="1"/>
    <col min="3" max="3" width="29.7109375" style="407" customWidth="1"/>
    <col min="4" max="4" width="10.7109375" style="482" bestFit="1" customWidth="1"/>
    <col min="5" max="5" width="22.42578125" style="409" customWidth="1"/>
    <col min="6" max="6" width="2.28515625" style="189" customWidth="1"/>
    <col min="7" max="7" width="8" style="183"/>
    <col min="8" max="8" width="20.140625" style="183" bestFit="1" customWidth="1"/>
    <col min="9" max="16384" width="8" style="183"/>
  </cols>
  <sheetData>
    <row r="1" spans="1:8" ht="9.4" customHeight="1"/>
    <row r="2" spans="1:8" ht="31.5">
      <c r="A2" s="406" t="s">
        <v>328</v>
      </c>
      <c r="B2" s="1057" t="s">
        <v>357</v>
      </c>
      <c r="C2" s="1058"/>
      <c r="D2" s="1058"/>
      <c r="E2" s="486" t="s">
        <v>358</v>
      </c>
    </row>
    <row r="3" spans="1:8">
      <c r="B3" s="481"/>
      <c r="C3" s="488" t="s">
        <v>332</v>
      </c>
      <c r="D3" s="483"/>
      <c r="E3" s="487">
        <v>0.08</v>
      </c>
      <c r="F3" s="183"/>
    </row>
    <row r="4" spans="1:8">
      <c r="B4" s="410"/>
      <c r="C4" s="411"/>
      <c r="D4" s="484"/>
      <c r="E4" s="412"/>
      <c r="F4" s="190"/>
    </row>
    <row r="5" spans="1:8">
      <c r="A5" s="406">
        <v>1</v>
      </c>
      <c r="B5" s="1059" t="s">
        <v>179</v>
      </c>
      <c r="C5" s="1059"/>
      <c r="D5" s="485">
        <v>741952</v>
      </c>
      <c r="E5" s="413">
        <f>D5*$E$3+D5</f>
        <v>801308.16000000003</v>
      </c>
      <c r="H5" s="842"/>
    </row>
    <row r="6" spans="1:8">
      <c r="A6" s="406">
        <v>2</v>
      </c>
      <c r="B6" s="1059" t="s">
        <v>180</v>
      </c>
      <c r="C6" s="1059"/>
      <c r="D6" s="485">
        <v>559403</v>
      </c>
      <c r="E6" s="413">
        <f>D6*$E$3+D6</f>
        <v>604155.24</v>
      </c>
      <c r="F6" s="328"/>
    </row>
    <row r="7" spans="1:8">
      <c r="A7" s="406">
        <v>3</v>
      </c>
      <c r="B7" s="1059" t="s">
        <v>181</v>
      </c>
      <c r="C7" s="1059"/>
      <c r="D7" s="485">
        <v>413560</v>
      </c>
      <c r="E7" s="413">
        <f t="shared" ref="E7:E52" si="0">D7*$E$3+D7</f>
        <v>446644.8</v>
      </c>
      <c r="F7" s="328"/>
    </row>
    <row r="8" spans="1:8">
      <c r="A8" s="406">
        <v>4</v>
      </c>
      <c r="B8" s="1059" t="s">
        <v>182</v>
      </c>
      <c r="C8" s="1059"/>
      <c r="D8" s="485">
        <v>695470</v>
      </c>
      <c r="E8" s="413">
        <f t="shared" si="0"/>
        <v>751107.6</v>
      </c>
      <c r="F8" s="328"/>
    </row>
    <row r="9" spans="1:8">
      <c r="A9" s="406">
        <v>5</v>
      </c>
      <c r="B9" s="1059" t="s">
        <v>42</v>
      </c>
      <c r="C9" s="1059"/>
      <c r="D9" s="485">
        <v>510940</v>
      </c>
      <c r="E9" s="413">
        <f t="shared" si="0"/>
        <v>551815.19999999995</v>
      </c>
      <c r="F9" s="328"/>
    </row>
    <row r="10" spans="1:8">
      <c r="A10" s="406">
        <v>6</v>
      </c>
      <c r="B10" s="1059" t="s">
        <v>183</v>
      </c>
      <c r="C10" s="1059"/>
      <c r="D10" s="485">
        <v>741952</v>
      </c>
      <c r="E10" s="413">
        <f t="shared" si="0"/>
        <v>801308.16000000003</v>
      </c>
      <c r="F10" s="328"/>
    </row>
    <row r="11" spans="1:8">
      <c r="A11" s="406">
        <v>7</v>
      </c>
      <c r="B11" s="1059" t="s">
        <v>184</v>
      </c>
      <c r="C11" s="1059"/>
      <c r="D11" s="485">
        <v>559403</v>
      </c>
      <c r="E11" s="413">
        <f t="shared" si="0"/>
        <v>604155.24</v>
      </c>
      <c r="F11" s="328"/>
    </row>
    <row r="12" spans="1:8">
      <c r="A12" s="406">
        <v>8</v>
      </c>
      <c r="B12" s="1059" t="s">
        <v>185</v>
      </c>
      <c r="C12" s="1059"/>
      <c r="D12" s="485">
        <v>559403</v>
      </c>
      <c r="E12" s="413">
        <f t="shared" si="0"/>
        <v>604155.24</v>
      </c>
      <c r="F12" s="328"/>
    </row>
    <row r="13" spans="1:8">
      <c r="A13" s="406">
        <v>9</v>
      </c>
      <c r="B13" s="1059" t="s">
        <v>186</v>
      </c>
      <c r="C13" s="1059"/>
      <c r="D13" s="485">
        <v>413560</v>
      </c>
      <c r="E13" s="413">
        <f t="shared" si="0"/>
        <v>446644.8</v>
      </c>
      <c r="F13" s="328"/>
    </row>
    <row r="14" spans="1:8">
      <c r="A14" s="406">
        <v>10</v>
      </c>
      <c r="B14" s="1059" t="s">
        <v>187</v>
      </c>
      <c r="C14" s="1059"/>
      <c r="D14" s="485">
        <v>741952</v>
      </c>
      <c r="E14" s="413">
        <f t="shared" si="0"/>
        <v>801308.16000000003</v>
      </c>
      <c r="F14" s="328"/>
    </row>
    <row r="15" spans="1:8">
      <c r="A15" s="406">
        <v>11</v>
      </c>
      <c r="B15" s="1059" t="s">
        <v>46</v>
      </c>
      <c r="C15" s="1059"/>
      <c r="D15" s="485">
        <v>510940</v>
      </c>
      <c r="E15" s="413">
        <f t="shared" si="0"/>
        <v>551815.19999999995</v>
      </c>
      <c r="F15" s="328"/>
    </row>
    <row r="16" spans="1:8">
      <c r="A16" s="406">
        <v>12</v>
      </c>
      <c r="B16" s="1059" t="s">
        <v>188</v>
      </c>
      <c r="C16" s="1059"/>
      <c r="D16" s="485">
        <v>826632</v>
      </c>
      <c r="E16" s="413">
        <f t="shared" si="0"/>
        <v>892762.56</v>
      </c>
      <c r="F16" s="328"/>
    </row>
    <row r="17" spans="1:6">
      <c r="A17" s="406">
        <v>13</v>
      </c>
      <c r="B17" s="1059" t="s">
        <v>189</v>
      </c>
      <c r="C17" s="1059"/>
      <c r="D17" s="485">
        <v>729478</v>
      </c>
      <c r="E17" s="413">
        <f t="shared" si="0"/>
        <v>787836.24</v>
      </c>
      <c r="F17" s="328"/>
    </row>
    <row r="18" spans="1:6">
      <c r="A18" s="406">
        <v>14</v>
      </c>
      <c r="B18" s="1059" t="s">
        <v>190</v>
      </c>
      <c r="C18" s="1059"/>
      <c r="D18" s="485">
        <v>663638</v>
      </c>
      <c r="E18" s="413">
        <f t="shared" si="0"/>
        <v>716729.04</v>
      </c>
      <c r="F18" s="328"/>
    </row>
    <row r="19" spans="1:6">
      <c r="A19" s="406">
        <v>15</v>
      </c>
      <c r="B19" s="1059" t="s">
        <v>191</v>
      </c>
      <c r="C19" s="1059"/>
      <c r="D19" s="485">
        <v>559403</v>
      </c>
      <c r="E19" s="413">
        <f t="shared" si="0"/>
        <v>604155.24</v>
      </c>
      <c r="F19" s="328"/>
    </row>
    <row r="20" spans="1:6">
      <c r="A20" s="406">
        <v>16</v>
      </c>
      <c r="B20" s="1059" t="s">
        <v>192</v>
      </c>
      <c r="C20" s="1059"/>
      <c r="D20" s="485">
        <v>437531</v>
      </c>
      <c r="E20" s="413">
        <f t="shared" si="0"/>
        <v>472533.48</v>
      </c>
      <c r="F20" s="328"/>
    </row>
    <row r="21" spans="1:6">
      <c r="A21" s="406">
        <v>17</v>
      </c>
      <c r="B21" s="1059" t="s">
        <v>54</v>
      </c>
      <c r="C21" s="1059"/>
      <c r="D21" s="485">
        <v>559403</v>
      </c>
      <c r="E21" s="413">
        <f t="shared" si="0"/>
        <v>604155.24</v>
      </c>
      <c r="F21" s="328"/>
    </row>
    <row r="22" spans="1:6">
      <c r="A22" s="406">
        <v>18</v>
      </c>
      <c r="B22" s="1059" t="s">
        <v>55</v>
      </c>
      <c r="C22" s="1059"/>
      <c r="D22" s="485">
        <v>510940</v>
      </c>
      <c r="E22" s="413">
        <f t="shared" si="0"/>
        <v>551815.19999999995</v>
      </c>
      <c r="F22" s="328"/>
    </row>
    <row r="23" spans="1:6">
      <c r="A23" s="406">
        <v>19</v>
      </c>
      <c r="B23" s="1059" t="s">
        <v>56</v>
      </c>
      <c r="C23" s="1059"/>
      <c r="D23" s="485">
        <v>413560</v>
      </c>
      <c r="E23" s="413">
        <f t="shared" si="0"/>
        <v>446644.8</v>
      </c>
      <c r="F23" s="328"/>
    </row>
    <row r="24" spans="1:6">
      <c r="A24" s="406">
        <v>20</v>
      </c>
      <c r="B24" s="1059" t="s">
        <v>57</v>
      </c>
      <c r="C24" s="1059"/>
      <c r="D24" s="485">
        <v>413560</v>
      </c>
      <c r="E24" s="413">
        <f t="shared" si="0"/>
        <v>446644.8</v>
      </c>
      <c r="F24" s="328"/>
    </row>
    <row r="25" spans="1:6">
      <c r="A25" s="406">
        <v>21</v>
      </c>
      <c r="B25" s="1059" t="s">
        <v>193</v>
      </c>
      <c r="C25" s="1059"/>
      <c r="D25" s="485">
        <v>437531</v>
      </c>
      <c r="E25" s="413">
        <f t="shared" si="0"/>
        <v>472533.48</v>
      </c>
      <c r="F25" s="328"/>
    </row>
    <row r="26" spans="1:6">
      <c r="A26" s="406">
        <v>22</v>
      </c>
      <c r="B26" s="1059" t="s">
        <v>59</v>
      </c>
      <c r="C26" s="1059"/>
      <c r="D26" s="485">
        <v>559403</v>
      </c>
      <c r="E26" s="413">
        <f t="shared" si="0"/>
        <v>604155.24</v>
      </c>
      <c r="F26" s="328"/>
    </row>
    <row r="27" spans="1:6">
      <c r="A27" s="406">
        <v>23</v>
      </c>
      <c r="B27" s="1059" t="s">
        <v>194</v>
      </c>
      <c r="C27" s="1059"/>
      <c r="D27" s="485">
        <v>510940</v>
      </c>
      <c r="E27" s="413">
        <f t="shared" si="0"/>
        <v>551815.19999999995</v>
      </c>
      <c r="F27" s="328"/>
    </row>
    <row r="28" spans="1:6">
      <c r="A28" s="406">
        <v>24</v>
      </c>
      <c r="B28" s="1059" t="s">
        <v>61</v>
      </c>
      <c r="C28" s="1059"/>
      <c r="D28" s="485">
        <v>462250</v>
      </c>
      <c r="E28" s="413">
        <f t="shared" si="0"/>
        <v>499230</v>
      </c>
      <c r="F28" s="328"/>
    </row>
    <row r="29" spans="1:6">
      <c r="A29" s="406">
        <v>25</v>
      </c>
      <c r="B29" s="1059" t="s">
        <v>62</v>
      </c>
      <c r="C29" s="1059"/>
      <c r="D29" s="485">
        <v>413560</v>
      </c>
      <c r="E29" s="413">
        <f t="shared" si="0"/>
        <v>446644.8</v>
      </c>
      <c r="F29" s="328"/>
    </row>
    <row r="30" spans="1:6">
      <c r="A30" s="406">
        <v>26</v>
      </c>
      <c r="B30" s="1059" t="s">
        <v>195</v>
      </c>
      <c r="C30" s="1059"/>
      <c r="D30" s="485">
        <v>413560</v>
      </c>
      <c r="E30" s="413">
        <f t="shared" si="0"/>
        <v>446644.8</v>
      </c>
      <c r="F30" s="328"/>
    </row>
    <row r="31" spans="1:6">
      <c r="A31" s="406">
        <v>27</v>
      </c>
      <c r="B31" s="1059" t="s">
        <v>196</v>
      </c>
      <c r="C31" s="1059"/>
      <c r="D31" s="485">
        <v>826632</v>
      </c>
      <c r="E31" s="413">
        <f t="shared" si="0"/>
        <v>892762.56</v>
      </c>
      <c r="F31" s="328"/>
    </row>
    <row r="32" spans="1:6">
      <c r="A32" s="406">
        <v>28</v>
      </c>
      <c r="B32" s="1059" t="s">
        <v>197</v>
      </c>
      <c r="C32" s="1059"/>
      <c r="D32" s="485">
        <v>705507</v>
      </c>
      <c r="E32" s="413">
        <f t="shared" si="0"/>
        <v>761947.56</v>
      </c>
      <c r="F32" s="328"/>
    </row>
    <row r="33" spans="1:6">
      <c r="A33" s="406">
        <v>29</v>
      </c>
      <c r="B33" s="1059" t="s">
        <v>67</v>
      </c>
      <c r="C33" s="1059"/>
      <c r="D33" s="485">
        <v>559403</v>
      </c>
      <c r="E33" s="413">
        <f t="shared" si="0"/>
        <v>604155.24</v>
      </c>
      <c r="F33" s="328"/>
    </row>
    <row r="34" spans="1:6">
      <c r="A34" s="406">
        <v>30</v>
      </c>
      <c r="B34" s="1059" t="s">
        <v>198</v>
      </c>
      <c r="C34" s="1059"/>
      <c r="D34" s="485">
        <v>510940</v>
      </c>
      <c r="E34" s="413">
        <f t="shared" si="0"/>
        <v>551815.19999999995</v>
      </c>
      <c r="F34" s="328"/>
    </row>
    <row r="35" spans="1:6">
      <c r="A35" s="406">
        <v>31</v>
      </c>
      <c r="B35" s="1059" t="s">
        <v>68</v>
      </c>
      <c r="C35" s="1059"/>
      <c r="D35" s="485">
        <v>705507</v>
      </c>
      <c r="E35" s="413">
        <f t="shared" si="0"/>
        <v>761947.56</v>
      </c>
      <c r="F35" s="328"/>
    </row>
    <row r="36" spans="1:6">
      <c r="A36" s="406">
        <v>32</v>
      </c>
      <c r="B36" s="1059" t="s">
        <v>69</v>
      </c>
      <c r="C36" s="1059"/>
      <c r="D36" s="485">
        <v>510940</v>
      </c>
      <c r="E36" s="413">
        <f t="shared" si="0"/>
        <v>551815.19999999995</v>
      </c>
      <c r="F36" s="328"/>
    </row>
    <row r="37" spans="1:6">
      <c r="A37" s="406">
        <v>33</v>
      </c>
      <c r="B37" s="1059" t="s">
        <v>199</v>
      </c>
      <c r="C37" s="1059"/>
      <c r="D37" s="485">
        <v>413560</v>
      </c>
      <c r="E37" s="413">
        <f t="shared" si="0"/>
        <v>446644.8</v>
      </c>
      <c r="F37" s="328"/>
    </row>
    <row r="38" spans="1:6">
      <c r="A38" s="406">
        <v>34</v>
      </c>
      <c r="B38" s="1059" t="s">
        <v>200</v>
      </c>
      <c r="C38" s="1059"/>
      <c r="D38" s="485">
        <v>510940</v>
      </c>
      <c r="E38" s="413">
        <f t="shared" si="0"/>
        <v>551815.19999999995</v>
      </c>
      <c r="F38" s="328"/>
    </row>
    <row r="39" spans="1:6">
      <c r="A39" s="406">
        <v>35</v>
      </c>
      <c r="B39" s="1059" t="s">
        <v>201</v>
      </c>
      <c r="C39" s="1059"/>
      <c r="D39" s="485">
        <v>413560</v>
      </c>
      <c r="E39" s="413">
        <f t="shared" si="0"/>
        <v>446644.8</v>
      </c>
      <c r="F39" s="328"/>
    </row>
    <row r="40" spans="1:6">
      <c r="A40" s="406">
        <v>36</v>
      </c>
      <c r="B40" s="1059" t="s">
        <v>202</v>
      </c>
      <c r="C40" s="1059"/>
      <c r="D40" s="485">
        <v>510940</v>
      </c>
      <c r="E40" s="413">
        <f t="shared" si="0"/>
        <v>551815.19999999995</v>
      </c>
      <c r="F40" s="328"/>
    </row>
    <row r="41" spans="1:6">
      <c r="A41" s="406">
        <v>37</v>
      </c>
      <c r="B41" s="1059" t="s">
        <v>203</v>
      </c>
      <c r="C41" s="1059"/>
      <c r="D41" s="485">
        <v>559403</v>
      </c>
      <c r="E41" s="413">
        <f t="shared" si="0"/>
        <v>604155.24</v>
      </c>
      <c r="F41" s="328"/>
    </row>
    <row r="42" spans="1:6">
      <c r="A42" s="406">
        <v>38</v>
      </c>
      <c r="B42" s="1059" t="s">
        <v>204</v>
      </c>
      <c r="C42" s="1059"/>
      <c r="D42" s="485">
        <v>486481</v>
      </c>
      <c r="E42" s="413">
        <f t="shared" si="0"/>
        <v>525399.48</v>
      </c>
      <c r="F42" s="328"/>
    </row>
    <row r="43" spans="1:6">
      <c r="A43" s="406">
        <v>39</v>
      </c>
      <c r="B43" s="1059" t="s">
        <v>205</v>
      </c>
      <c r="C43" s="1059"/>
      <c r="D43" s="485">
        <v>413560</v>
      </c>
      <c r="E43" s="413">
        <f t="shared" si="0"/>
        <v>446644.8</v>
      </c>
      <c r="F43" s="328"/>
    </row>
    <row r="44" spans="1:6">
      <c r="A44" s="406">
        <v>40</v>
      </c>
      <c r="B44" s="1059" t="s">
        <v>206</v>
      </c>
      <c r="C44" s="1059"/>
      <c r="D44" s="485">
        <v>705507</v>
      </c>
      <c r="E44" s="413">
        <f t="shared" si="0"/>
        <v>761947.56</v>
      </c>
      <c r="F44" s="328"/>
    </row>
    <row r="45" spans="1:6">
      <c r="A45" s="406">
        <v>41</v>
      </c>
      <c r="B45" s="1059" t="s">
        <v>207</v>
      </c>
      <c r="C45" s="1059"/>
      <c r="D45" s="485">
        <v>559403</v>
      </c>
      <c r="E45" s="413">
        <f t="shared" si="0"/>
        <v>604155.24</v>
      </c>
      <c r="F45" s="328"/>
    </row>
    <row r="46" spans="1:6">
      <c r="A46" s="406">
        <v>42</v>
      </c>
      <c r="B46" s="1059" t="s">
        <v>208</v>
      </c>
      <c r="C46" s="1059"/>
      <c r="D46" s="485">
        <v>705507</v>
      </c>
      <c r="E46" s="413">
        <f t="shared" si="0"/>
        <v>761947.56</v>
      </c>
      <c r="F46" s="328"/>
    </row>
    <row r="47" spans="1:6">
      <c r="A47" s="406">
        <v>43</v>
      </c>
      <c r="B47" s="1059" t="s">
        <v>209</v>
      </c>
      <c r="C47" s="1059"/>
      <c r="D47" s="485">
        <v>559403</v>
      </c>
      <c r="E47" s="413">
        <f t="shared" si="0"/>
        <v>604155.24</v>
      </c>
      <c r="F47" s="328"/>
    </row>
    <row r="48" spans="1:6">
      <c r="A48" s="406">
        <v>44</v>
      </c>
      <c r="B48" s="1059" t="s">
        <v>210</v>
      </c>
      <c r="C48" s="1059"/>
      <c r="D48" s="485">
        <v>559403</v>
      </c>
      <c r="E48" s="413">
        <f t="shared" si="0"/>
        <v>604155.24</v>
      </c>
      <c r="F48" s="328"/>
    </row>
    <row r="49" spans="1:6">
      <c r="A49" s="406">
        <v>45</v>
      </c>
      <c r="B49" s="1059" t="s">
        <v>211</v>
      </c>
      <c r="C49" s="1059"/>
      <c r="D49" s="485">
        <v>826632</v>
      </c>
      <c r="E49" s="413">
        <f t="shared" si="0"/>
        <v>892762.56</v>
      </c>
      <c r="F49" s="328"/>
    </row>
    <row r="50" spans="1:6">
      <c r="A50" s="406">
        <v>46</v>
      </c>
      <c r="B50" s="1059" t="s">
        <v>212</v>
      </c>
      <c r="C50" s="1059"/>
      <c r="D50" s="485">
        <v>567166</v>
      </c>
      <c r="E50" s="413">
        <f t="shared" si="0"/>
        <v>612539.28</v>
      </c>
      <c r="F50" s="328"/>
    </row>
    <row r="51" spans="1:6">
      <c r="A51" s="406">
        <v>47</v>
      </c>
      <c r="B51" s="1059" t="s">
        <v>213</v>
      </c>
      <c r="C51" s="1059"/>
      <c r="D51" s="485">
        <v>413560</v>
      </c>
      <c r="E51" s="413">
        <f t="shared" si="0"/>
        <v>446644.8</v>
      </c>
      <c r="F51" s="328"/>
    </row>
    <row r="52" spans="1:6">
      <c r="A52" s="406">
        <v>48</v>
      </c>
      <c r="B52" s="1059" t="s">
        <v>214</v>
      </c>
      <c r="C52" s="1059"/>
      <c r="D52" s="485">
        <v>198432</v>
      </c>
      <c r="E52" s="413">
        <f t="shared" si="0"/>
        <v>214306.56</v>
      </c>
      <c r="F52" s="328"/>
    </row>
  </sheetData>
  <mergeCells count="49">
    <mergeCell ref="B44:C44"/>
    <mergeCell ref="B45:C45"/>
    <mergeCell ref="B52:C52"/>
    <mergeCell ref="B46:C46"/>
    <mergeCell ref="B47:C47"/>
    <mergeCell ref="B48:C48"/>
    <mergeCell ref="B49:C49"/>
    <mergeCell ref="B50:C50"/>
    <mergeCell ref="B51:C51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2:D2"/>
    <mergeCell ref="B5:C5"/>
    <mergeCell ref="B6:C6"/>
    <mergeCell ref="B7:C7"/>
    <mergeCell ref="B8:C8"/>
  </mergeCells>
  <hyperlinks>
    <hyperlink ref="C3" r:id="rId1"/>
  </hyperlinks>
  <pageMargins left="0.7" right="0.7" top="0.75" bottom="0.75" header="0.3" footer="0.3"/>
  <pageSetup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1:G28"/>
  <sheetViews>
    <sheetView workbookViewId="0">
      <selection activeCell="E5" sqref="E5"/>
    </sheetView>
  </sheetViews>
  <sheetFormatPr baseColWidth="10" defaultColWidth="10.7109375" defaultRowHeight="15.75"/>
  <cols>
    <col min="1" max="1" width="1.140625" style="414" customWidth="1"/>
    <col min="2" max="2" width="50.140625" style="414" customWidth="1"/>
    <col min="3" max="3" width="15.140625" style="493" bestFit="1" customWidth="1"/>
    <col min="4" max="4" width="18" style="417" bestFit="1" customWidth="1"/>
    <col min="5" max="5" width="2.140625" style="414" customWidth="1"/>
    <col min="6" max="16384" width="10.7109375" style="414"/>
  </cols>
  <sheetData>
    <row r="1" spans="2:7" s="183" customFormat="1" ht="9.4" customHeight="1">
      <c r="B1" s="406"/>
      <c r="C1" s="491"/>
      <c r="D1" s="407"/>
      <c r="E1" s="408"/>
      <c r="F1" s="409"/>
      <c r="G1" s="189"/>
    </row>
    <row r="2" spans="2:7" ht="47.25">
      <c r="B2" s="498" t="s">
        <v>360</v>
      </c>
      <c r="C2" s="495"/>
      <c r="D2" s="486" t="s">
        <v>359</v>
      </c>
    </row>
    <row r="3" spans="2:7">
      <c r="B3" s="490" t="s">
        <v>333</v>
      </c>
      <c r="C3" s="492"/>
      <c r="D3" s="489">
        <v>0.08</v>
      </c>
      <c r="E3" s="415"/>
    </row>
    <row r="4" spans="2:7">
      <c r="B4" s="480"/>
      <c r="C4" s="494"/>
      <c r="D4" s="421"/>
    </row>
    <row r="5" spans="2:7" ht="30">
      <c r="B5" s="418" t="s">
        <v>306</v>
      </c>
      <c r="C5" s="496">
        <v>5119476</v>
      </c>
      <c r="D5" s="419">
        <f>C5+(C5*$D$3)</f>
        <v>5529034.0800000001</v>
      </c>
    </row>
    <row r="6" spans="2:7">
      <c r="B6" s="420" t="s">
        <v>254</v>
      </c>
      <c r="C6" s="496">
        <v>5119476</v>
      </c>
      <c r="D6" s="421">
        <f>C6+(C6*$D$3)</f>
        <v>5529034.0800000001</v>
      </c>
    </row>
    <row r="7" spans="2:7">
      <c r="B7" s="420" t="s">
        <v>253</v>
      </c>
      <c r="C7" s="496">
        <v>4021899</v>
      </c>
      <c r="D7" s="421">
        <f t="shared" ref="D7:D23" si="0">C7+(C7*$D$3)</f>
        <v>4343650.92</v>
      </c>
    </row>
    <row r="8" spans="2:7">
      <c r="B8" s="420" t="s">
        <v>252</v>
      </c>
      <c r="C8" s="496">
        <v>3297504</v>
      </c>
      <c r="D8" s="421">
        <f t="shared" si="0"/>
        <v>3561304.32</v>
      </c>
    </row>
    <row r="9" spans="2:7">
      <c r="B9" s="420" t="s">
        <v>251</v>
      </c>
      <c r="C9" s="496">
        <v>88299</v>
      </c>
      <c r="D9" s="421">
        <f t="shared" si="0"/>
        <v>95362.92</v>
      </c>
    </row>
    <row r="10" spans="2:7">
      <c r="B10" s="420" t="s">
        <v>250</v>
      </c>
      <c r="C10" s="496">
        <v>63927</v>
      </c>
      <c r="D10" s="421">
        <f t="shared" si="0"/>
        <v>69041.16</v>
      </c>
    </row>
    <row r="11" spans="2:7">
      <c r="B11" s="420" t="s">
        <v>249</v>
      </c>
      <c r="C11" s="496">
        <v>378869</v>
      </c>
      <c r="D11" s="421">
        <f t="shared" si="0"/>
        <v>409178.52</v>
      </c>
    </row>
    <row r="12" spans="2:7">
      <c r="B12" s="420" t="s">
        <v>248</v>
      </c>
      <c r="C12" s="496">
        <v>313059</v>
      </c>
      <c r="D12" s="421">
        <f t="shared" si="0"/>
        <v>338103.72</v>
      </c>
    </row>
    <row r="13" spans="2:7">
      <c r="B13" s="420" t="s">
        <v>247</v>
      </c>
      <c r="C13" s="496">
        <v>313059</v>
      </c>
      <c r="D13" s="421">
        <f t="shared" si="0"/>
        <v>338103.72</v>
      </c>
    </row>
    <row r="14" spans="2:7">
      <c r="B14" s="420" t="s">
        <v>246</v>
      </c>
      <c r="C14" s="496">
        <v>250129</v>
      </c>
      <c r="D14" s="421">
        <f t="shared" si="0"/>
        <v>270139.32</v>
      </c>
    </row>
    <row r="15" spans="2:7">
      <c r="B15" s="420" t="s">
        <v>245</v>
      </c>
      <c r="C15" s="496">
        <v>378869</v>
      </c>
      <c r="D15" s="421">
        <f t="shared" si="0"/>
        <v>409178.52</v>
      </c>
    </row>
    <row r="16" spans="2:7">
      <c r="B16" s="420" t="s">
        <v>244</v>
      </c>
      <c r="C16" s="496">
        <v>187620</v>
      </c>
      <c r="D16" s="421">
        <f t="shared" si="0"/>
        <v>202629.6</v>
      </c>
    </row>
    <row r="17" spans="2:4">
      <c r="B17" s="420" t="s">
        <v>243</v>
      </c>
      <c r="C17" s="496">
        <v>159702</v>
      </c>
      <c r="D17" s="421">
        <f t="shared" si="0"/>
        <v>172478.16</v>
      </c>
    </row>
    <row r="18" spans="2:4">
      <c r="B18" s="420" t="s">
        <v>242</v>
      </c>
      <c r="C18" s="496">
        <v>375682</v>
      </c>
      <c r="D18" s="421">
        <f t="shared" si="0"/>
        <v>405736.56</v>
      </c>
    </row>
    <row r="19" spans="2:4">
      <c r="B19" s="420" t="s">
        <v>241</v>
      </c>
      <c r="C19" s="496">
        <v>313059</v>
      </c>
      <c r="D19" s="421">
        <f t="shared" si="0"/>
        <v>338103.72</v>
      </c>
    </row>
    <row r="20" spans="2:4">
      <c r="B20" s="420" t="s">
        <v>240</v>
      </c>
      <c r="C20" s="496">
        <v>84148</v>
      </c>
      <c r="D20" s="421">
        <f t="shared" si="0"/>
        <v>90879.84</v>
      </c>
    </row>
    <row r="21" spans="2:4">
      <c r="B21" s="420" t="s">
        <v>239</v>
      </c>
      <c r="C21" s="496">
        <v>65362</v>
      </c>
      <c r="D21" s="421">
        <f t="shared" si="0"/>
        <v>70590.960000000006</v>
      </c>
    </row>
    <row r="22" spans="2:4">
      <c r="B22" s="420" t="s">
        <v>238</v>
      </c>
      <c r="C22" s="496">
        <v>72677</v>
      </c>
      <c r="D22" s="421">
        <f t="shared" si="0"/>
        <v>78491.16</v>
      </c>
    </row>
    <row r="23" spans="2:4" ht="16.5" thickBot="1">
      <c r="B23" s="420" t="s">
        <v>237</v>
      </c>
      <c r="C23" s="497">
        <v>54342</v>
      </c>
      <c r="D23" s="421">
        <f t="shared" si="0"/>
        <v>58689.36</v>
      </c>
    </row>
    <row r="24" spans="2:4">
      <c r="D24" s="416"/>
    </row>
    <row r="25" spans="2:4">
      <c r="D25" s="416"/>
    </row>
    <row r="26" spans="2:4">
      <c r="D26" s="416"/>
    </row>
    <row r="27" spans="2:4">
      <c r="D27" s="416"/>
    </row>
    <row r="28" spans="2:4">
      <c r="D28" s="416"/>
    </row>
  </sheetData>
  <hyperlinks>
    <hyperlink ref="B3" r:id="rId1"/>
  </hyperlinks>
  <pageMargins left="0.7" right="0.7" top="0.75" bottom="0.75" header="0.3" footer="0.3"/>
  <pageSetup paperSize="9" orientation="portrait" horizontalDpi="4294967292" verticalDpi="4294967292"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2:D23"/>
  <sheetViews>
    <sheetView workbookViewId="0">
      <selection activeCell="H6" sqref="H6"/>
    </sheetView>
  </sheetViews>
  <sheetFormatPr baseColWidth="10" defaultColWidth="11.42578125" defaultRowHeight="15.75"/>
  <cols>
    <col min="1" max="1" width="2" style="424" customWidth="1"/>
    <col min="2" max="2" width="50" style="424" customWidth="1"/>
    <col min="3" max="3" width="12.42578125" style="501" bestFit="1" customWidth="1"/>
    <col min="4" max="4" width="17.28515625" style="374" bestFit="1" customWidth="1"/>
    <col min="5" max="5" width="2.7109375" style="424" customWidth="1"/>
    <col min="6" max="16384" width="11.42578125" style="424"/>
  </cols>
  <sheetData>
    <row r="2" spans="2:4" ht="47.25">
      <c r="B2" s="502" t="s">
        <v>361</v>
      </c>
      <c r="C2" s="503"/>
      <c r="D2" s="505" t="s">
        <v>355</v>
      </c>
    </row>
    <row r="3" spans="2:4">
      <c r="B3" s="490" t="s">
        <v>334</v>
      </c>
      <c r="C3" s="504"/>
      <c r="D3" s="506">
        <v>0.08</v>
      </c>
    </row>
    <row r="4" spans="2:4">
      <c r="B4" s="425" t="s">
        <v>215</v>
      </c>
      <c r="C4" s="499">
        <v>63099</v>
      </c>
      <c r="D4" s="426">
        <f>C4+(C4*$D$3)</f>
        <v>68146.92</v>
      </c>
    </row>
    <row r="5" spans="2:4">
      <c r="B5" s="422" t="s">
        <v>330</v>
      </c>
      <c r="C5" s="499">
        <v>11832</v>
      </c>
      <c r="D5" s="426">
        <f>C5+(C5*$D$3)</f>
        <v>12778.56</v>
      </c>
    </row>
    <row r="6" spans="2:4">
      <c r="B6" s="422" t="s">
        <v>331</v>
      </c>
      <c r="C6" s="499">
        <v>15775</v>
      </c>
      <c r="D6" s="426">
        <f t="shared" ref="D6:D23" si="0">C6+(C6*$D$3)</f>
        <v>17037</v>
      </c>
    </row>
    <row r="7" spans="2:4">
      <c r="B7" s="423" t="s">
        <v>287</v>
      </c>
      <c r="C7" s="499">
        <v>19411</v>
      </c>
      <c r="D7" s="426">
        <f t="shared" si="0"/>
        <v>20963.88</v>
      </c>
    </row>
    <row r="8" spans="2:4">
      <c r="B8" s="423" t="s">
        <v>286</v>
      </c>
      <c r="C8" s="499">
        <v>19411</v>
      </c>
      <c r="D8" s="426">
        <f t="shared" si="0"/>
        <v>20963.88</v>
      </c>
    </row>
    <row r="9" spans="2:4">
      <c r="B9" s="423" t="s">
        <v>295</v>
      </c>
      <c r="C9" s="499">
        <v>31556</v>
      </c>
      <c r="D9" s="426">
        <f t="shared" si="0"/>
        <v>34080.480000000003</v>
      </c>
    </row>
    <row r="10" spans="2:4">
      <c r="B10" s="423" t="s">
        <v>296</v>
      </c>
      <c r="C10" s="499">
        <v>63020</v>
      </c>
      <c r="D10" s="426">
        <f t="shared" ref="D10:D11" si="1">C10+(C10*$D$3)</f>
        <v>68061.600000000006</v>
      </c>
    </row>
    <row r="11" spans="2:4">
      <c r="B11" s="423" t="s">
        <v>297</v>
      </c>
      <c r="C11" s="499">
        <v>19411</v>
      </c>
      <c r="D11" s="426">
        <f t="shared" si="1"/>
        <v>20963.88</v>
      </c>
    </row>
    <row r="12" spans="2:4">
      <c r="B12" s="425" t="s">
        <v>216</v>
      </c>
      <c r="C12" s="499">
        <v>104125</v>
      </c>
      <c r="D12" s="426">
        <f t="shared" si="0"/>
        <v>112455</v>
      </c>
    </row>
    <row r="13" spans="2:4">
      <c r="B13" s="422" t="s">
        <v>330</v>
      </c>
      <c r="C13" s="499">
        <v>19524</v>
      </c>
      <c r="D13" s="426">
        <f t="shared" si="0"/>
        <v>21085.919999999998</v>
      </c>
    </row>
    <row r="14" spans="2:4">
      <c r="B14" s="422" t="s">
        <v>331</v>
      </c>
      <c r="C14" s="499">
        <v>26032</v>
      </c>
      <c r="D14" s="426">
        <f t="shared" si="0"/>
        <v>28114.560000000001</v>
      </c>
    </row>
    <row r="15" spans="2:4">
      <c r="B15" s="425" t="s">
        <v>218</v>
      </c>
      <c r="C15" s="499">
        <v>129511</v>
      </c>
      <c r="D15" s="426">
        <f t="shared" si="0"/>
        <v>139871.88</v>
      </c>
    </row>
    <row r="16" spans="2:4">
      <c r="B16" s="422" t="s">
        <v>330</v>
      </c>
      <c r="C16" s="499">
        <v>24283</v>
      </c>
      <c r="D16" s="426">
        <f t="shared" si="0"/>
        <v>26225.64</v>
      </c>
    </row>
    <row r="17" spans="2:4">
      <c r="B17" s="422" t="s">
        <v>331</v>
      </c>
      <c r="C17" s="499">
        <v>32378</v>
      </c>
      <c r="D17" s="426">
        <f t="shared" si="0"/>
        <v>34968.239999999998</v>
      </c>
    </row>
    <row r="18" spans="2:4">
      <c r="B18" s="425" t="s">
        <v>219</v>
      </c>
      <c r="C18" s="499">
        <v>129511</v>
      </c>
      <c r="D18" s="426">
        <f t="shared" si="0"/>
        <v>139871.88</v>
      </c>
    </row>
    <row r="19" spans="2:4">
      <c r="B19" s="427" t="s">
        <v>217</v>
      </c>
      <c r="C19" s="499">
        <v>124262</v>
      </c>
      <c r="D19" s="426">
        <f t="shared" si="0"/>
        <v>134202.96</v>
      </c>
    </row>
    <row r="20" spans="2:4">
      <c r="B20" s="422" t="s">
        <v>330</v>
      </c>
      <c r="C20" s="499">
        <v>23299</v>
      </c>
      <c r="D20" s="426">
        <f t="shared" si="0"/>
        <v>25162.92</v>
      </c>
    </row>
    <row r="21" spans="2:4">
      <c r="B21" s="422" t="s">
        <v>331</v>
      </c>
      <c r="C21" s="499">
        <v>31065</v>
      </c>
      <c r="D21" s="426">
        <f t="shared" si="0"/>
        <v>33550.199999999997</v>
      </c>
    </row>
    <row r="22" spans="2:4">
      <c r="B22" s="422" t="s">
        <v>256</v>
      </c>
      <c r="C22" s="500">
        <f>C18*33%+C18</f>
        <v>172249.63</v>
      </c>
      <c r="D22" s="426">
        <f>C22+(C22*$D$3)</f>
        <v>186029.6004</v>
      </c>
    </row>
    <row r="23" spans="2:4">
      <c r="B23" s="423" t="s">
        <v>255</v>
      </c>
      <c r="C23" s="500">
        <f>C18*33%+C18</f>
        <v>172249.63</v>
      </c>
      <c r="D23" s="426">
        <f t="shared" si="0"/>
        <v>186029.6004</v>
      </c>
    </row>
  </sheetData>
  <hyperlinks>
    <hyperlink ref="B3" r:id="rId1"/>
  </hyperlinks>
  <pageMargins left="0.7" right="0.7" top="0.75" bottom="0.75" header="0.3" footer="0.3"/>
  <pageSetup paperSize="9" orientation="portrait" horizontalDpi="1200" verticalDpi="120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B1:D19"/>
  <sheetViews>
    <sheetView zoomScaleNormal="100" workbookViewId="0">
      <selection activeCell="G5" sqref="G5"/>
    </sheetView>
  </sheetViews>
  <sheetFormatPr baseColWidth="10" defaultColWidth="11.42578125" defaultRowHeight="15.75"/>
  <cols>
    <col min="1" max="1" width="1.42578125" style="424" customWidth="1"/>
    <col min="2" max="2" width="59.7109375" style="424" bestFit="1" customWidth="1"/>
    <col min="3" max="3" width="22.140625" style="509" bestFit="1" customWidth="1"/>
    <col min="4" max="4" width="31.140625" style="428" bestFit="1" customWidth="1"/>
    <col min="5" max="5" width="1.7109375" style="424" customWidth="1"/>
    <col min="6" max="16384" width="11.42578125" style="424"/>
  </cols>
  <sheetData>
    <row r="1" spans="2:4" ht="16.5" thickBot="1"/>
    <row r="2" spans="2:4">
      <c r="B2" s="572" t="s">
        <v>362</v>
      </c>
      <c r="C2" s="509" t="s">
        <v>346</v>
      </c>
      <c r="D2" s="507" t="s">
        <v>363</v>
      </c>
    </row>
    <row r="3" spans="2:4" ht="16.5" thickBot="1">
      <c r="B3" s="508" t="s">
        <v>336</v>
      </c>
      <c r="C3" s="509" t="s">
        <v>479</v>
      </c>
      <c r="D3" s="787">
        <v>0.24</v>
      </c>
    </row>
    <row r="4" spans="2:4" ht="15">
      <c r="D4" s="424"/>
    </row>
    <row r="5" spans="2:4">
      <c r="B5" s="424" t="s">
        <v>335</v>
      </c>
    </row>
    <row r="6" spans="2:4">
      <c r="B6" s="424" t="s">
        <v>227</v>
      </c>
    </row>
    <row r="7" spans="2:4">
      <c r="B7" s="424" t="s">
        <v>222</v>
      </c>
    </row>
    <row r="8" spans="2:4">
      <c r="B8" s="424" t="s">
        <v>223</v>
      </c>
      <c r="C8" s="510">
        <v>12500000</v>
      </c>
      <c r="D8" s="374">
        <f>(C8*$D$3)+C8</f>
        <v>15500000</v>
      </c>
    </row>
    <row r="9" spans="2:4">
      <c r="B9" s="424" t="s">
        <v>224</v>
      </c>
      <c r="C9" s="510">
        <v>6528000</v>
      </c>
      <c r="D9" s="374">
        <f>(C9*$D$3)+C9</f>
        <v>8094720</v>
      </c>
    </row>
    <row r="10" spans="2:4">
      <c r="B10" s="424" t="s">
        <v>225</v>
      </c>
      <c r="C10" s="510">
        <v>4350000</v>
      </c>
      <c r="D10" s="374">
        <f>(C10*$D$3)+C10</f>
        <v>5394000</v>
      </c>
    </row>
    <row r="11" spans="2:4">
      <c r="B11" s="424" t="s">
        <v>226</v>
      </c>
      <c r="C11" s="510">
        <v>21924000</v>
      </c>
      <c r="D11" s="374">
        <f>(C11*$D$3)+C11</f>
        <v>27185760</v>
      </c>
    </row>
    <row r="12" spans="2:4">
      <c r="C12" s="510"/>
      <c r="D12" s="374"/>
    </row>
    <row r="13" spans="2:4">
      <c r="D13" s="374"/>
    </row>
    <row r="14" spans="2:4" ht="16.5" thickBot="1">
      <c r="D14" s="374"/>
    </row>
    <row r="15" spans="2:4">
      <c r="B15" s="514" t="s">
        <v>368</v>
      </c>
      <c r="D15" s="507" t="s">
        <v>363</v>
      </c>
    </row>
    <row r="16" spans="2:4" ht="16.5" thickBot="1">
      <c r="B16" s="508" t="s">
        <v>347</v>
      </c>
      <c r="D16" s="787">
        <v>0.22</v>
      </c>
    </row>
    <row r="17" spans="2:4">
      <c r="D17" s="430"/>
    </row>
    <row r="18" spans="2:4">
      <c r="B18" s="511" t="s">
        <v>364</v>
      </c>
      <c r="C18" s="510">
        <v>7869623</v>
      </c>
      <c r="D18" s="429">
        <f>C18*D16+C18</f>
        <v>9600940.0600000005</v>
      </c>
    </row>
    <row r="19" spans="2:4">
      <c r="B19" s="424" t="s">
        <v>365</v>
      </c>
      <c r="D19" s="374"/>
    </row>
  </sheetData>
  <hyperlinks>
    <hyperlink ref="B3" r:id="rId1"/>
    <hyperlink ref="B16" r:id="rId2"/>
  </hyperlinks>
  <pageMargins left="0.7" right="0.7" top="0.75" bottom="0.75" header="0.3" footer="0.3"/>
  <pageSetup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Top Sheet anterior p comparar</vt:lpstr>
      <vt:lpstr>TOP SHEET</vt:lpstr>
      <vt:lpstr>PRESU</vt:lpstr>
      <vt:lpstr>Equ. Tec. x SICA</vt:lpstr>
      <vt:lpstr>SICA a Marzo2026</vt:lpstr>
      <vt:lpstr>AAA a Marzo26</vt:lpstr>
      <vt:lpstr>SUTEP a Marzo26</vt:lpstr>
      <vt:lpstr>SADAIC-SAdeM a Marzo26</vt:lpstr>
      <vt:lpstr>'Equ. Tec. x SICA'!Área_de_impresión</vt:lpstr>
      <vt:lpstr>PRESU!Área_de_impresión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jluduena</cp:lastModifiedBy>
  <cp:lastPrinted>2023-08-19T00:22:52Z</cp:lastPrinted>
  <dcterms:created xsi:type="dcterms:W3CDTF">2019-06-27T18:19:04Z</dcterms:created>
  <dcterms:modified xsi:type="dcterms:W3CDTF">2025-12-17T18:18:28Z</dcterms:modified>
</cp:coreProperties>
</file>