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autoCompressPictures="0"/>
  <bookViews>
    <workbookView xWindow="255" yWindow="495" windowWidth="25080" windowHeight="13965"/>
  </bookViews>
  <sheets>
    <sheet name="Presupuesto DAC 1 semestre 2026" sheetId="1" r:id="rId1"/>
    <sheet name=" Tablas SAT, AAA &amp; Sutep" sheetId="2" r:id="rId2"/>
  </sheets>
  <definedNames>
    <definedName name="_xlnm.Print_Area" localSheetId="0">'Presupuesto DAC 1 semestre 2026'!$A:$L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95" i="1"/>
  <c r="F794"/>
  <c r="F793"/>
  <c r="F792"/>
  <c r="F791"/>
  <c r="F790"/>
  <c r="F789"/>
  <c r="F788"/>
  <c r="F787"/>
  <c r="F786"/>
  <c r="F785"/>
  <c r="F784"/>
  <c r="F771"/>
  <c r="F769"/>
  <c r="F758"/>
  <c r="F749"/>
  <c r="F748"/>
  <c r="F747"/>
  <c r="F744"/>
  <c r="F743"/>
  <c r="F742"/>
  <c r="F741"/>
  <c r="F740"/>
  <c r="F738"/>
  <c r="F727"/>
  <c r="F725"/>
  <c r="F721"/>
  <c r="F712"/>
  <c r="F710"/>
  <c r="F703"/>
  <c r="F684"/>
  <c r="F682"/>
  <c r="F674"/>
  <c r="F673"/>
  <c r="F672"/>
  <c r="F658"/>
  <c r="F654"/>
  <c r="F652"/>
  <c r="N650"/>
  <c r="N649"/>
  <c r="N648"/>
  <c r="N647"/>
  <c r="N646"/>
  <c r="N645"/>
  <c r="N644"/>
  <c r="N643"/>
  <c r="N642"/>
  <c r="O642" s="1"/>
  <c r="H638"/>
  <c r="F640"/>
  <c r="H640" s="1"/>
  <c r="F639"/>
  <c r="H639" s="1"/>
  <c r="F638"/>
  <c r="F637"/>
  <c r="H637" s="1"/>
  <c r="F636"/>
  <c r="H636" s="1"/>
  <c r="F631"/>
  <c r="F630"/>
  <c r="F629"/>
  <c r="F623"/>
  <c r="F622"/>
  <c r="F618"/>
  <c r="F614"/>
  <c r="F613"/>
  <c r="F608"/>
  <c r="F606"/>
  <c r="F604"/>
  <c r="F602"/>
  <c r="F600"/>
  <c r="F598"/>
  <c r="M575"/>
  <c r="F575" s="1"/>
  <c r="F582"/>
  <c r="F574"/>
  <c r="F562"/>
  <c r="F560"/>
  <c r="F555"/>
  <c r="U23" i="2"/>
  <c r="U25"/>
  <c r="U21"/>
  <c r="U20"/>
  <c r="F576" i="1" l="1"/>
  <c r="F577" s="1"/>
  <c r="G577" s="1"/>
  <c r="F583"/>
  <c r="F584"/>
  <c r="P545"/>
  <c r="F545" s="1"/>
  <c r="P544"/>
  <c r="P543"/>
  <c r="P542"/>
  <c r="P541"/>
  <c r="P540"/>
  <c r="P539"/>
  <c r="F539" s="1"/>
  <c r="U12" i="2"/>
  <c r="T5"/>
  <c r="U5" s="1"/>
  <c r="T6"/>
  <c r="U6" s="1"/>
  <c r="T7"/>
  <c r="U7" s="1"/>
  <c r="T8"/>
  <c r="U8" s="1"/>
  <c r="T9"/>
  <c r="U9" s="1"/>
  <c r="T10"/>
  <c r="U10" s="1"/>
  <c r="T11"/>
  <c r="U11" s="1"/>
  <c r="T12"/>
  <c r="T13"/>
  <c r="U13" s="1"/>
  <c r="T14"/>
  <c r="U14" s="1"/>
  <c r="T15"/>
  <c r="U15" s="1"/>
  <c r="T4"/>
  <c r="S4"/>
  <c r="U4" s="1"/>
  <c r="F105" i="1"/>
  <c r="H90"/>
  <c r="I90" s="1"/>
  <c r="F585" l="1"/>
  <c r="F586" s="1"/>
  <c r="F75"/>
  <c r="F780" l="1"/>
  <c r="F779"/>
  <c r="F776"/>
  <c r="C772"/>
  <c r="F707"/>
  <c r="H707" s="1"/>
  <c r="F699"/>
  <c r="H699" s="1"/>
  <c r="H682"/>
  <c r="H618"/>
  <c r="I618" s="1"/>
  <c r="H614"/>
  <c r="J614" s="1"/>
  <c r="H602"/>
  <c r="I602" s="1"/>
  <c r="J602" s="1"/>
  <c r="H600"/>
  <c r="H598"/>
  <c r="I598" s="1"/>
  <c r="F569"/>
  <c r="H569" s="1"/>
  <c r="F568"/>
  <c r="H568" s="1"/>
  <c r="H562"/>
  <c r="H758"/>
  <c r="I758" s="1"/>
  <c r="H725"/>
  <c r="G586"/>
  <c r="H560"/>
  <c r="H577"/>
  <c r="H555"/>
  <c r="G653"/>
  <c r="H653" s="1"/>
  <c r="G650"/>
  <c r="F531"/>
  <c r="G527" s="1"/>
  <c r="F427"/>
  <c r="G423" s="1"/>
  <c r="F174"/>
  <c r="G170" s="1"/>
  <c r="H810"/>
  <c r="H779"/>
  <c r="J779" s="1"/>
  <c r="H776"/>
  <c r="I776" s="1"/>
  <c r="H771"/>
  <c r="H769"/>
  <c r="F768"/>
  <c r="H743"/>
  <c r="I743" s="1"/>
  <c r="J743" s="1"/>
  <c r="H749"/>
  <c r="H744"/>
  <c r="J744" s="1"/>
  <c r="H742"/>
  <c r="I742" s="1"/>
  <c r="H727"/>
  <c r="I727" s="1"/>
  <c r="F724"/>
  <c r="H724" s="1"/>
  <c r="I724" s="1"/>
  <c r="J724" s="1"/>
  <c r="F723"/>
  <c r="H723" s="1"/>
  <c r="I723" s="1"/>
  <c r="J723" s="1"/>
  <c r="H721"/>
  <c r="I721" s="1"/>
  <c r="J721" s="1"/>
  <c r="F718"/>
  <c r="H718" s="1"/>
  <c r="I718" s="1"/>
  <c r="H712"/>
  <c r="H710"/>
  <c r="I710" s="1"/>
  <c r="J710" s="1"/>
  <c r="H663"/>
  <c r="I640"/>
  <c r="J640" s="1"/>
  <c r="J639"/>
  <c r="I638"/>
  <c r="J638" s="1"/>
  <c r="F692"/>
  <c r="H692" s="1"/>
  <c r="I692" s="1"/>
  <c r="I693" s="1"/>
  <c r="I38" s="1"/>
  <c r="F686"/>
  <c r="H686" s="1"/>
  <c r="H684"/>
  <c r="I684" s="1"/>
  <c r="H795"/>
  <c r="I795" s="1"/>
  <c r="H794"/>
  <c r="H791"/>
  <c r="J791" s="1"/>
  <c r="H790"/>
  <c r="J790" s="1"/>
  <c r="H789"/>
  <c r="I789" s="1"/>
  <c r="J789" s="1"/>
  <c r="H788"/>
  <c r="H787"/>
  <c r="H786"/>
  <c r="I786" s="1"/>
  <c r="F561"/>
  <c r="H561" s="1"/>
  <c r="H102"/>
  <c r="F540"/>
  <c r="F541"/>
  <c r="F542"/>
  <c r="F543"/>
  <c r="F544"/>
  <c r="E431"/>
  <c r="F437" s="1"/>
  <c r="H437" s="1"/>
  <c r="E524"/>
  <c r="C9" i="2"/>
  <c r="G9" s="1"/>
  <c r="C14"/>
  <c r="I14" s="1"/>
  <c r="C15"/>
  <c r="H103" i="1"/>
  <c r="E101"/>
  <c r="H114"/>
  <c r="E112"/>
  <c r="H110"/>
  <c r="H113"/>
  <c r="H125"/>
  <c r="E123"/>
  <c r="H124"/>
  <c r="H136"/>
  <c r="F138"/>
  <c r="G134" s="1"/>
  <c r="E134"/>
  <c r="H135"/>
  <c r="H150"/>
  <c r="F152"/>
  <c r="G148" s="1"/>
  <c r="E148"/>
  <c r="H149"/>
  <c r="H161"/>
  <c r="F163"/>
  <c r="G159" s="1"/>
  <c r="E159"/>
  <c r="H160"/>
  <c r="H172"/>
  <c r="E170"/>
  <c r="H171"/>
  <c r="H183"/>
  <c r="F185"/>
  <c r="G181" s="1"/>
  <c r="E181"/>
  <c r="H182"/>
  <c r="H216"/>
  <c r="F218"/>
  <c r="G214" s="1"/>
  <c r="E214"/>
  <c r="H215"/>
  <c r="H227"/>
  <c r="F229"/>
  <c r="G225" s="1"/>
  <c r="E225"/>
  <c r="H226"/>
  <c r="H238"/>
  <c r="E233"/>
  <c r="F234" s="1"/>
  <c r="H234" s="1"/>
  <c r="E236"/>
  <c r="F240"/>
  <c r="G236" s="1"/>
  <c r="H237"/>
  <c r="H249"/>
  <c r="F251"/>
  <c r="G247" s="1"/>
  <c r="E247"/>
  <c r="H248"/>
  <c r="H260"/>
  <c r="F262"/>
  <c r="G258" s="1"/>
  <c r="E258"/>
  <c r="H259"/>
  <c r="H271"/>
  <c r="F273"/>
  <c r="G269" s="1"/>
  <c r="E269"/>
  <c r="H270"/>
  <c r="H282"/>
  <c r="F284"/>
  <c r="G280" s="1"/>
  <c r="E280"/>
  <c r="H281"/>
  <c r="H293"/>
  <c r="F295"/>
  <c r="G291" s="1"/>
  <c r="E291"/>
  <c r="H292"/>
  <c r="F304"/>
  <c r="H304" s="1"/>
  <c r="F306"/>
  <c r="G302" s="1"/>
  <c r="E302"/>
  <c r="F303"/>
  <c r="H303" s="1"/>
  <c r="F305"/>
  <c r="H305" s="1"/>
  <c r="H315"/>
  <c r="F317"/>
  <c r="G313" s="1"/>
  <c r="E313"/>
  <c r="H314"/>
  <c r="H326"/>
  <c r="F328"/>
  <c r="G324" s="1"/>
  <c r="E324"/>
  <c r="H325"/>
  <c r="H337"/>
  <c r="G335"/>
  <c r="E335"/>
  <c r="H336"/>
  <c r="H338"/>
  <c r="H348"/>
  <c r="G346"/>
  <c r="E346"/>
  <c r="H347"/>
  <c r="H349"/>
  <c r="H359"/>
  <c r="F361"/>
  <c r="G357" s="1"/>
  <c r="E357"/>
  <c r="H358"/>
  <c r="H370"/>
  <c r="F372"/>
  <c r="G368" s="1"/>
  <c r="E368"/>
  <c r="H369"/>
  <c r="H381"/>
  <c r="F383"/>
  <c r="G379" s="1"/>
  <c r="E379"/>
  <c r="H380"/>
  <c r="H382"/>
  <c r="H392"/>
  <c r="G390"/>
  <c r="E390"/>
  <c r="H391"/>
  <c r="H393"/>
  <c r="H403"/>
  <c r="G401"/>
  <c r="E401"/>
  <c r="H402"/>
  <c r="H404"/>
  <c r="H414"/>
  <c r="F416"/>
  <c r="G412" s="1"/>
  <c r="E412"/>
  <c r="H413"/>
  <c r="H425"/>
  <c r="E423"/>
  <c r="H424"/>
  <c r="H436"/>
  <c r="F438"/>
  <c r="G434" s="1"/>
  <c r="E434"/>
  <c r="H435"/>
  <c r="H447"/>
  <c r="F449"/>
  <c r="G445" s="1"/>
  <c r="E445"/>
  <c r="G446"/>
  <c r="H446" s="1"/>
  <c r="H458"/>
  <c r="F460"/>
  <c r="G456" s="1"/>
  <c r="E456"/>
  <c r="H457"/>
  <c r="H469"/>
  <c r="F471"/>
  <c r="G467" s="1"/>
  <c r="E467"/>
  <c r="G468"/>
  <c r="H468" s="1"/>
  <c r="H483"/>
  <c r="F485"/>
  <c r="G481" s="1"/>
  <c r="E481"/>
  <c r="H482"/>
  <c r="H484"/>
  <c r="H494"/>
  <c r="F496"/>
  <c r="G492" s="1"/>
  <c r="E492"/>
  <c r="H493"/>
  <c r="H495"/>
  <c r="H505"/>
  <c r="F507"/>
  <c r="G503" s="1"/>
  <c r="E503"/>
  <c r="H504"/>
  <c r="H506"/>
  <c r="H518"/>
  <c r="F520"/>
  <c r="G516" s="1"/>
  <c r="H517"/>
  <c r="H519"/>
  <c r="H529"/>
  <c r="C10" i="2"/>
  <c r="H528" i="1"/>
  <c r="F196"/>
  <c r="G192" s="1"/>
  <c r="E192"/>
  <c r="H193"/>
  <c r="H194"/>
  <c r="F207"/>
  <c r="G203" s="1"/>
  <c r="E203"/>
  <c r="H204"/>
  <c r="H205"/>
  <c r="F116"/>
  <c r="F127"/>
  <c r="C475"/>
  <c r="G547"/>
  <c r="F547"/>
  <c r="C535"/>
  <c r="C142"/>
  <c r="C510"/>
  <c r="H592"/>
  <c r="J592" s="1"/>
  <c r="O643"/>
  <c r="O644"/>
  <c r="F644" s="1"/>
  <c r="H644" s="1"/>
  <c r="O645"/>
  <c r="F645" s="1"/>
  <c r="H645" s="1"/>
  <c r="O646"/>
  <c r="F646" s="1"/>
  <c r="H646" s="1"/>
  <c r="O647"/>
  <c r="F647" s="1"/>
  <c r="H647" s="1"/>
  <c r="O648"/>
  <c r="F648" s="1"/>
  <c r="H648" s="1"/>
  <c r="O649"/>
  <c r="F649" s="1"/>
  <c r="H649" s="1"/>
  <c r="O650"/>
  <c r="F650" s="1"/>
  <c r="H650" s="1"/>
  <c r="I636"/>
  <c r="J636" s="1"/>
  <c r="J637"/>
  <c r="H652"/>
  <c r="J652" s="1"/>
  <c r="H806"/>
  <c r="H807" s="1"/>
  <c r="H54" s="1"/>
  <c r="H703"/>
  <c r="H726"/>
  <c r="I726" s="1"/>
  <c r="H802"/>
  <c r="I802" s="1"/>
  <c r="J802" s="1"/>
  <c r="H784"/>
  <c r="I784" s="1"/>
  <c r="H785"/>
  <c r="J785" s="1"/>
  <c r="H792"/>
  <c r="I792" s="1"/>
  <c r="J792" s="1"/>
  <c r="H793"/>
  <c r="I793" s="1"/>
  <c r="H796"/>
  <c r="J796" s="1"/>
  <c r="H780"/>
  <c r="J780" s="1"/>
  <c r="H768"/>
  <c r="I768" s="1"/>
  <c r="H762"/>
  <c r="H761"/>
  <c r="H759"/>
  <c r="I759" s="1"/>
  <c r="H756"/>
  <c r="H755"/>
  <c r="H753"/>
  <c r="H752"/>
  <c r="H747"/>
  <c r="I747" s="1"/>
  <c r="J747" s="1"/>
  <c r="H748"/>
  <c r="I748" s="1"/>
  <c r="J748" s="1"/>
  <c r="H745"/>
  <c r="J745" s="1"/>
  <c r="H741"/>
  <c r="J741" s="1"/>
  <c r="H740"/>
  <c r="J740" s="1"/>
  <c r="H738"/>
  <c r="I738" s="1"/>
  <c r="J738" s="1"/>
  <c r="H731"/>
  <c r="H733"/>
  <c r="H672"/>
  <c r="H673"/>
  <c r="H674"/>
  <c r="H675"/>
  <c r="I675" s="1"/>
  <c r="H665"/>
  <c r="J665" s="1"/>
  <c r="H667"/>
  <c r="J667" s="1"/>
  <c r="H658"/>
  <c r="H659"/>
  <c r="J659" s="1"/>
  <c r="H629"/>
  <c r="H630"/>
  <c r="H631"/>
  <c r="H622"/>
  <c r="I622" s="1"/>
  <c r="J622" s="1"/>
  <c r="H623"/>
  <c r="I623" s="1"/>
  <c r="J623" s="1"/>
  <c r="H624"/>
  <c r="H625"/>
  <c r="J625" s="1"/>
  <c r="H613"/>
  <c r="I613" s="1"/>
  <c r="J613" s="1"/>
  <c r="H616"/>
  <c r="I616" s="1"/>
  <c r="H617"/>
  <c r="H604"/>
  <c r="I604" s="1"/>
  <c r="H606"/>
  <c r="H608"/>
  <c r="H609"/>
  <c r="H89"/>
  <c r="J89" s="1"/>
  <c r="H91"/>
  <c r="J91" s="1"/>
  <c r="H92"/>
  <c r="J92" s="1"/>
  <c r="H83"/>
  <c r="I83" s="1"/>
  <c r="I86" s="1"/>
  <c r="I10" s="1"/>
  <c r="H84"/>
  <c r="J84" s="1"/>
  <c r="H85"/>
  <c r="J85" s="1"/>
  <c r="H74"/>
  <c r="J74" s="1"/>
  <c r="H75"/>
  <c r="I75" s="1"/>
  <c r="I80" s="1"/>
  <c r="I8" s="1"/>
  <c r="H76"/>
  <c r="J76" s="1"/>
  <c r="H77"/>
  <c r="J77" s="1"/>
  <c r="H78"/>
  <c r="H79"/>
  <c r="J79" s="1"/>
  <c r="I806"/>
  <c r="I807" s="1"/>
  <c r="I54" s="1"/>
  <c r="I629"/>
  <c r="I630"/>
  <c r="I631"/>
  <c r="C13" i="2"/>
  <c r="I13" s="1"/>
  <c r="C12"/>
  <c r="C11"/>
  <c r="D11" s="1"/>
  <c r="T60" i="1"/>
  <c r="E674"/>
  <c r="I535"/>
  <c r="I549" s="1"/>
  <c r="I587"/>
  <c r="I594"/>
  <c r="I668"/>
  <c r="I32" s="1"/>
  <c r="J816"/>
  <c r="I817"/>
  <c r="I58" s="1"/>
  <c r="C580"/>
  <c r="C587" s="1"/>
  <c r="C594"/>
  <c r="G558"/>
  <c r="C807"/>
  <c r="C687"/>
  <c r="C781"/>
  <c r="C803"/>
  <c r="C693"/>
  <c r="C676"/>
  <c r="C668"/>
  <c r="C660"/>
  <c r="C626"/>
  <c r="C619"/>
  <c r="C610"/>
  <c r="C80"/>
  <c r="C763"/>
  <c r="C734"/>
  <c r="C728"/>
  <c r="C93"/>
  <c r="C86"/>
  <c r="C655"/>
  <c r="C797"/>
  <c r="C811"/>
  <c r="C632"/>
  <c r="D56"/>
  <c r="D14"/>
  <c r="D52"/>
  <c r="D50"/>
  <c r="D48"/>
  <c r="D46"/>
  <c r="D44"/>
  <c r="D42"/>
  <c r="D40"/>
  <c r="D38"/>
  <c r="D36"/>
  <c r="D34"/>
  <c r="D32"/>
  <c r="D30"/>
  <c r="D28"/>
  <c r="D26"/>
  <c r="D24"/>
  <c r="D22"/>
  <c r="D20"/>
  <c r="D12"/>
  <c r="I771" l="1"/>
  <c r="H772"/>
  <c r="F643"/>
  <c r="H643" s="1"/>
  <c r="F642"/>
  <c r="H642" s="1"/>
  <c r="H632"/>
  <c r="H26" s="1"/>
  <c r="J753"/>
  <c r="I762"/>
  <c r="J762" s="1"/>
  <c r="H547"/>
  <c r="E398"/>
  <c r="F399" s="1"/>
  <c r="H399" s="1"/>
  <c r="H11" i="2"/>
  <c r="C8"/>
  <c r="D8" s="1"/>
  <c r="F13"/>
  <c r="G13"/>
  <c r="H13"/>
  <c r="I10"/>
  <c r="G10"/>
  <c r="F10"/>
  <c r="E10"/>
  <c r="E299" i="1"/>
  <c r="F300" s="1"/>
  <c r="F301" s="1"/>
  <c r="E489"/>
  <c r="F490" s="1"/>
  <c r="F491" s="1"/>
  <c r="E365"/>
  <c r="F366" s="1"/>
  <c r="H14" i="2"/>
  <c r="H12"/>
  <c r="F12"/>
  <c r="G12"/>
  <c r="H584" i="1"/>
  <c r="J629"/>
  <c r="J806"/>
  <c r="J807" s="1"/>
  <c r="E200"/>
  <c r="F201" s="1"/>
  <c r="F202" s="1"/>
  <c r="E354"/>
  <c r="F355" s="1"/>
  <c r="H355" s="1"/>
  <c r="H734"/>
  <c r="H42" s="1"/>
  <c r="J726"/>
  <c r="E513"/>
  <c r="F514" s="1"/>
  <c r="D10" i="2"/>
  <c r="H660" i="1"/>
  <c r="H30" s="1"/>
  <c r="G540"/>
  <c r="H540" s="1"/>
  <c r="E277"/>
  <c r="F278" s="1"/>
  <c r="H278" s="1"/>
  <c r="H610"/>
  <c r="H20" s="1"/>
  <c r="J752"/>
  <c r="E500"/>
  <c r="F501" s="1"/>
  <c r="F502" s="1"/>
  <c r="E387"/>
  <c r="F388" s="1"/>
  <c r="H388" s="1"/>
  <c r="C5" i="2"/>
  <c r="J727" i="1"/>
  <c r="E453"/>
  <c r="F454" s="1"/>
  <c r="F455" s="1"/>
  <c r="E244"/>
  <c r="F245" s="1"/>
  <c r="F246" s="1"/>
  <c r="H246" s="1"/>
  <c r="H556"/>
  <c r="H557"/>
  <c r="F239"/>
  <c r="H239" s="1"/>
  <c r="H579"/>
  <c r="H578"/>
  <c r="I699"/>
  <c r="J699" s="1"/>
  <c r="I761"/>
  <c r="J761" s="1"/>
  <c r="H93"/>
  <c r="H12" s="1"/>
  <c r="H582"/>
  <c r="J675"/>
  <c r="J756"/>
  <c r="C537"/>
  <c r="G546" s="1"/>
  <c r="J768"/>
  <c r="H563"/>
  <c r="J631"/>
  <c r="I733"/>
  <c r="J733" s="1"/>
  <c r="G542"/>
  <c r="H542" s="1"/>
  <c r="H570"/>
  <c r="H572" s="1"/>
  <c r="J663"/>
  <c r="J668" s="1"/>
  <c r="H668"/>
  <c r="H32" s="1"/>
  <c r="I673"/>
  <c r="J673" s="1"/>
  <c r="I725"/>
  <c r="J725" s="1"/>
  <c r="I600"/>
  <c r="J600" s="1"/>
  <c r="I794"/>
  <c r="J794" s="1"/>
  <c r="I674"/>
  <c r="J674" s="1"/>
  <c r="I712"/>
  <c r="J712" s="1"/>
  <c r="I749"/>
  <c r="J749" s="1"/>
  <c r="H750"/>
  <c r="I750" s="1"/>
  <c r="J755"/>
  <c r="I609"/>
  <c r="J609" s="1"/>
  <c r="J54"/>
  <c r="H583"/>
  <c r="J759"/>
  <c r="J630"/>
  <c r="I731"/>
  <c r="I658"/>
  <c r="I660" s="1"/>
  <c r="I30" s="1"/>
  <c r="F235"/>
  <c r="H235" s="1"/>
  <c r="F526"/>
  <c r="F527" s="1"/>
  <c r="H527" s="1"/>
  <c r="I624"/>
  <c r="I626" s="1"/>
  <c r="I24" s="1"/>
  <c r="J658"/>
  <c r="J660" s="1"/>
  <c r="H576"/>
  <c r="J692"/>
  <c r="J693" s="1"/>
  <c r="I810"/>
  <c r="I811" s="1"/>
  <c r="I56" s="1"/>
  <c r="H811"/>
  <c r="J776"/>
  <c r="J781" s="1"/>
  <c r="I781"/>
  <c r="I48" s="1"/>
  <c r="H781"/>
  <c r="H48" s="1"/>
  <c r="J771"/>
  <c r="H46"/>
  <c r="I769"/>
  <c r="J769" s="1"/>
  <c r="J758"/>
  <c r="J742"/>
  <c r="J718"/>
  <c r="I707"/>
  <c r="J707" s="1"/>
  <c r="H728"/>
  <c r="F801" s="1"/>
  <c r="I703"/>
  <c r="J703" s="1"/>
  <c r="I672"/>
  <c r="H676"/>
  <c r="H34" s="1"/>
  <c r="G654"/>
  <c r="H654" s="1"/>
  <c r="J654" s="1"/>
  <c r="I653"/>
  <c r="H693"/>
  <c r="H38" s="1"/>
  <c r="I686"/>
  <c r="J686" s="1"/>
  <c r="H687"/>
  <c r="H36" s="1"/>
  <c r="J684"/>
  <c r="I682"/>
  <c r="I788"/>
  <c r="J788" s="1"/>
  <c r="I787"/>
  <c r="J787" s="1"/>
  <c r="J786"/>
  <c r="J784"/>
  <c r="J795"/>
  <c r="J793"/>
  <c r="I632"/>
  <c r="I26" s="1"/>
  <c r="J26"/>
  <c r="H626"/>
  <c r="H24" s="1"/>
  <c r="I617"/>
  <c r="J617" s="1"/>
  <c r="J616"/>
  <c r="I606"/>
  <c r="J606" s="1"/>
  <c r="J604"/>
  <c r="I608"/>
  <c r="J608" s="1"/>
  <c r="I93"/>
  <c r="I12" s="1"/>
  <c r="J75"/>
  <c r="H80"/>
  <c r="H8" s="1"/>
  <c r="E222"/>
  <c r="F228" s="1"/>
  <c r="H228" s="1"/>
  <c r="E167"/>
  <c r="E131"/>
  <c r="E321"/>
  <c r="F327" s="1"/>
  <c r="H327" s="1"/>
  <c r="E145"/>
  <c r="F151" s="1"/>
  <c r="H151" s="1"/>
  <c r="E464"/>
  <c r="C7" i="2"/>
  <c r="E266" i="1"/>
  <c r="H15" i="2"/>
  <c r="I15"/>
  <c r="F15"/>
  <c r="F14"/>
  <c r="E14"/>
  <c r="D14"/>
  <c r="G14"/>
  <c r="E332" i="1"/>
  <c r="F333" s="1"/>
  <c r="E109"/>
  <c r="F111" s="1"/>
  <c r="C6" i="2"/>
  <c r="E288" i="1"/>
  <c r="F432"/>
  <c r="I11" i="2"/>
  <c r="F11"/>
  <c r="E11"/>
  <c r="E12"/>
  <c r="F9"/>
  <c r="D12"/>
  <c r="E8"/>
  <c r="H8"/>
  <c r="D9"/>
  <c r="E9"/>
  <c r="H9"/>
  <c r="G15"/>
  <c r="I9"/>
  <c r="D15"/>
  <c r="D13"/>
  <c r="E13"/>
  <c r="E442" i="1"/>
  <c r="E120"/>
  <c r="F121" s="1"/>
  <c r="E156"/>
  <c r="E178"/>
  <c r="E409"/>
  <c r="G11" i="2"/>
  <c r="E15"/>
  <c r="I12"/>
  <c r="F525" i="1"/>
  <c r="H525" s="1"/>
  <c r="F530"/>
  <c r="H530" s="1"/>
  <c r="E98"/>
  <c r="F99" s="1"/>
  <c r="E376"/>
  <c r="F377" s="1"/>
  <c r="E478"/>
  <c r="F479" s="1"/>
  <c r="C4" i="2"/>
  <c r="E211" i="1"/>
  <c r="E420"/>
  <c r="E189"/>
  <c r="E255"/>
  <c r="E343"/>
  <c r="F344" s="1"/>
  <c r="E310"/>
  <c r="H10" i="2"/>
  <c r="H797" i="1"/>
  <c r="H50" s="1"/>
  <c r="J618"/>
  <c r="H619"/>
  <c r="H22" s="1"/>
  <c r="J598"/>
  <c r="H86"/>
  <c r="H10" s="1"/>
  <c r="J83"/>
  <c r="J86" s="1"/>
  <c r="J78"/>
  <c r="F400" l="1"/>
  <c r="H400" s="1"/>
  <c r="I619"/>
  <c r="I22" s="1"/>
  <c r="H546"/>
  <c r="H300"/>
  <c r="F564"/>
  <c r="H564" s="1"/>
  <c r="H56"/>
  <c r="J56" s="1"/>
  <c r="J650"/>
  <c r="F8" i="2"/>
  <c r="H501" i="1"/>
  <c r="F371"/>
  <c r="H371" s="1"/>
  <c r="H490"/>
  <c r="G545"/>
  <c r="H545" s="1"/>
  <c r="F223"/>
  <c r="F224" s="1"/>
  <c r="H224" s="1"/>
  <c r="J579"/>
  <c r="H558"/>
  <c r="J558" s="1"/>
  <c r="F206"/>
  <c r="H206" s="1"/>
  <c r="F250"/>
  <c r="H250" s="1"/>
  <c r="F283"/>
  <c r="H283" s="1"/>
  <c r="F279"/>
  <c r="H279" s="1"/>
  <c r="I8" i="2"/>
  <c r="G8"/>
  <c r="H491" i="1"/>
  <c r="F492"/>
  <c r="H492" s="1"/>
  <c r="F360"/>
  <c r="H360" s="1"/>
  <c r="F356"/>
  <c r="H356" s="1"/>
  <c r="F459"/>
  <c r="H459" s="1"/>
  <c r="H454"/>
  <c r="F389"/>
  <c r="F390" s="1"/>
  <c r="H390" s="1"/>
  <c r="H245"/>
  <c r="H571"/>
  <c r="J572" s="1"/>
  <c r="J80"/>
  <c r="H5" i="2"/>
  <c r="G5"/>
  <c r="D5"/>
  <c r="F5"/>
  <c r="E5"/>
  <c r="I5"/>
  <c r="J772" i="1"/>
  <c r="J632"/>
  <c r="H201"/>
  <c r="J30"/>
  <c r="H585"/>
  <c r="F247"/>
  <c r="H247" s="1"/>
  <c r="J32"/>
  <c r="J8"/>
  <c r="J38"/>
  <c r="H40"/>
  <c r="H801"/>
  <c r="H803" s="1"/>
  <c r="H52" s="1"/>
  <c r="J48"/>
  <c r="F236"/>
  <c r="H236" s="1"/>
  <c r="H240" s="1"/>
  <c r="H241" s="1"/>
  <c r="J10"/>
  <c r="H655"/>
  <c r="H28" s="1"/>
  <c r="H526"/>
  <c r="H531" s="1"/>
  <c r="J12"/>
  <c r="J24"/>
  <c r="J750"/>
  <c r="J763" s="1"/>
  <c r="I763"/>
  <c r="I44" s="1"/>
  <c r="J728"/>
  <c r="I797"/>
  <c r="H763"/>
  <c r="H44" s="1"/>
  <c r="I734"/>
  <c r="J731"/>
  <c r="J734" s="1"/>
  <c r="J624"/>
  <c r="J626" s="1"/>
  <c r="J619"/>
  <c r="I676"/>
  <c r="I34" s="1"/>
  <c r="J34" s="1"/>
  <c r="J22"/>
  <c r="I728"/>
  <c r="I40" s="1"/>
  <c r="J90"/>
  <c r="J93" s="1"/>
  <c r="J810"/>
  <c r="J811" s="1"/>
  <c r="I772"/>
  <c r="J672"/>
  <c r="J676" s="1"/>
  <c r="I655"/>
  <c r="I28" s="1"/>
  <c r="J653"/>
  <c r="J682"/>
  <c r="J687" s="1"/>
  <c r="I687"/>
  <c r="J797"/>
  <c r="I610"/>
  <c r="J610"/>
  <c r="F146"/>
  <c r="H146" s="1"/>
  <c r="F322"/>
  <c r="F323" s="1"/>
  <c r="F137"/>
  <c r="H137" s="1"/>
  <c r="F132"/>
  <c r="F173"/>
  <c r="H173" s="1"/>
  <c r="F168"/>
  <c r="H202"/>
  <c r="F203"/>
  <c r="H203" s="1"/>
  <c r="F311"/>
  <c r="F316"/>
  <c r="H316" s="1"/>
  <c r="H377"/>
  <c r="F378"/>
  <c r="F421"/>
  <c r="F426"/>
  <c r="H426" s="1"/>
  <c r="H121"/>
  <c r="F122"/>
  <c r="H366"/>
  <c r="F367"/>
  <c r="F289"/>
  <c r="F294"/>
  <c r="H294" s="1"/>
  <c r="H502"/>
  <c r="F503"/>
  <c r="H503" s="1"/>
  <c r="H301"/>
  <c r="F302"/>
  <c r="H302" s="1"/>
  <c r="H6" i="2"/>
  <c r="G6"/>
  <c r="F6"/>
  <c r="I6"/>
  <c r="E6"/>
  <c r="D6"/>
  <c r="F443" i="1"/>
  <c r="F448"/>
  <c r="H448" s="1"/>
  <c r="I4" i="2"/>
  <c r="H4"/>
  <c r="D4"/>
  <c r="G4"/>
  <c r="F4"/>
  <c r="E4"/>
  <c r="H514" i="1"/>
  <c r="F515"/>
  <c r="H333"/>
  <c r="F334"/>
  <c r="F272"/>
  <c r="H272" s="1"/>
  <c r="F267"/>
  <c r="H344"/>
  <c r="F345"/>
  <c r="F100"/>
  <c r="H99"/>
  <c r="F410"/>
  <c r="F415"/>
  <c r="H415" s="1"/>
  <c r="I7" i="2"/>
  <c r="H7"/>
  <c r="F7"/>
  <c r="G7"/>
  <c r="E7"/>
  <c r="D7"/>
  <c r="F456" i="1"/>
  <c r="H456" s="1"/>
  <c r="H455"/>
  <c r="F470"/>
  <c r="H470" s="1"/>
  <c r="F465"/>
  <c r="F212"/>
  <c r="F217"/>
  <c r="H217" s="1"/>
  <c r="H479"/>
  <c r="F480"/>
  <c r="H111"/>
  <c r="F112"/>
  <c r="H112" s="1"/>
  <c r="F115"/>
  <c r="H115" s="1"/>
  <c r="F256"/>
  <c r="F261"/>
  <c r="H261" s="1"/>
  <c r="F179"/>
  <c r="F184"/>
  <c r="H184" s="1"/>
  <c r="F433"/>
  <c r="H432"/>
  <c r="F195"/>
  <c r="H195" s="1"/>
  <c r="F190"/>
  <c r="F157"/>
  <c r="F162"/>
  <c r="H162" s="1"/>
  <c r="F401"/>
  <c r="H401" s="1"/>
  <c r="H549" l="1"/>
  <c r="H565"/>
  <c r="H566"/>
  <c r="I46"/>
  <c r="J46" s="1"/>
  <c r="J655"/>
  <c r="I42"/>
  <c r="J42" s="1"/>
  <c r="I36"/>
  <c r="J36" s="1"/>
  <c r="I20"/>
  <c r="J20" s="1"/>
  <c r="I50"/>
  <c r="J50" s="1"/>
  <c r="H223"/>
  <c r="F225"/>
  <c r="H225" s="1"/>
  <c r="F357"/>
  <c r="H357" s="1"/>
  <c r="H361" s="1"/>
  <c r="H496"/>
  <c r="H498" s="1"/>
  <c r="H242"/>
  <c r="J242" s="1"/>
  <c r="H389"/>
  <c r="H394" s="1"/>
  <c r="H395" s="1"/>
  <c r="F280"/>
  <c r="H280" s="1"/>
  <c r="H284" s="1"/>
  <c r="H285" s="1"/>
  <c r="H251"/>
  <c r="H252" s="1"/>
  <c r="F101"/>
  <c r="H101" s="1"/>
  <c r="F104"/>
  <c r="H104" s="1"/>
  <c r="J547"/>
  <c r="J549" s="1"/>
  <c r="H460"/>
  <c r="F147"/>
  <c r="F148" s="1"/>
  <c r="H148" s="1"/>
  <c r="H586"/>
  <c r="J586" s="1"/>
  <c r="J40"/>
  <c r="J28"/>
  <c r="H306"/>
  <c r="H307" s="1"/>
  <c r="H322"/>
  <c r="H207"/>
  <c r="H209" s="1"/>
  <c r="J44"/>
  <c r="I801"/>
  <c r="H507"/>
  <c r="H509" s="1"/>
  <c r="H405"/>
  <c r="H406" s="1"/>
  <c r="F133"/>
  <c r="H132"/>
  <c r="F169"/>
  <c r="H168"/>
  <c r="H179"/>
  <c r="F180"/>
  <c r="H334"/>
  <c r="F335"/>
  <c r="H335" s="1"/>
  <c r="H378"/>
  <c r="F379"/>
  <c r="H379" s="1"/>
  <c r="H100"/>
  <c r="H515"/>
  <c r="F516"/>
  <c r="H516" s="1"/>
  <c r="H190"/>
  <c r="F191"/>
  <c r="H443"/>
  <c r="F444"/>
  <c r="F312"/>
  <c r="H311"/>
  <c r="H410"/>
  <c r="F411"/>
  <c r="F123"/>
  <c r="H123" s="1"/>
  <c r="F126"/>
  <c r="H126" s="1"/>
  <c r="H122"/>
  <c r="F422"/>
  <c r="H421"/>
  <c r="H480"/>
  <c r="F481"/>
  <c r="H481" s="1"/>
  <c r="H533"/>
  <c r="H532"/>
  <c r="F346"/>
  <c r="H346" s="1"/>
  <c r="H345"/>
  <c r="H256"/>
  <c r="F257"/>
  <c r="H289"/>
  <c r="F290"/>
  <c r="F159"/>
  <c r="H159" s="1"/>
  <c r="H157"/>
  <c r="F158"/>
  <c r="H158" s="1"/>
  <c r="H367"/>
  <c r="F368"/>
  <c r="H368" s="1"/>
  <c r="H323"/>
  <c r="F324"/>
  <c r="H324" s="1"/>
  <c r="H212"/>
  <c r="F213"/>
  <c r="H433"/>
  <c r="F434"/>
  <c r="H434" s="1"/>
  <c r="H116"/>
  <c r="H465"/>
  <c r="F466"/>
  <c r="F268"/>
  <c r="H267"/>
  <c r="J566" l="1"/>
  <c r="F590" s="1"/>
  <c r="H590" s="1"/>
  <c r="J590" s="1"/>
  <c r="H229"/>
  <c r="H231" s="1"/>
  <c r="H396"/>
  <c r="J396" s="1"/>
  <c r="H497"/>
  <c r="J498" s="1"/>
  <c r="J533"/>
  <c r="H253"/>
  <c r="J253" s="1"/>
  <c r="H105"/>
  <c r="H106" s="1"/>
  <c r="H461"/>
  <c r="H147"/>
  <c r="H152" s="1"/>
  <c r="H153" s="1"/>
  <c r="H362"/>
  <c r="H462"/>
  <c r="H350"/>
  <c r="H352" s="1"/>
  <c r="H363"/>
  <c r="H286"/>
  <c r="J286" s="1"/>
  <c r="H208"/>
  <c r="J209" s="1"/>
  <c r="H308"/>
  <c r="J308" s="1"/>
  <c r="F593"/>
  <c r="H593" s="1"/>
  <c r="J593" s="1"/>
  <c r="H508"/>
  <c r="J509" s="1"/>
  <c r="H372"/>
  <c r="H373" s="1"/>
  <c r="H438"/>
  <c r="H439" s="1"/>
  <c r="H127"/>
  <c r="H129" s="1"/>
  <c r="H520"/>
  <c r="H521" s="1"/>
  <c r="H407"/>
  <c r="J407" s="1"/>
  <c r="H339"/>
  <c r="H340" s="1"/>
  <c r="I803"/>
  <c r="I52" s="1"/>
  <c r="J801"/>
  <c r="J803" s="1"/>
  <c r="H485"/>
  <c r="H487" s="1"/>
  <c r="H383"/>
  <c r="H384" s="1"/>
  <c r="F170"/>
  <c r="H170" s="1"/>
  <c r="H169"/>
  <c r="H328"/>
  <c r="H329" s="1"/>
  <c r="H133"/>
  <c r="F134"/>
  <c r="H134" s="1"/>
  <c r="H257"/>
  <c r="F258"/>
  <c r="H258" s="1"/>
  <c r="H411"/>
  <c r="F412"/>
  <c r="H412" s="1"/>
  <c r="H117"/>
  <c r="H118"/>
  <c r="F291"/>
  <c r="H291" s="1"/>
  <c r="H290"/>
  <c r="F313"/>
  <c r="H313" s="1"/>
  <c r="H312"/>
  <c r="H466"/>
  <c r="F467"/>
  <c r="H467" s="1"/>
  <c r="F214"/>
  <c r="H214" s="1"/>
  <c r="H213"/>
  <c r="F192"/>
  <c r="H192" s="1"/>
  <c r="H191"/>
  <c r="H444"/>
  <c r="F445"/>
  <c r="H445" s="1"/>
  <c r="F423"/>
  <c r="H423" s="1"/>
  <c r="H422"/>
  <c r="H163"/>
  <c r="H268"/>
  <c r="F269"/>
  <c r="H269" s="1"/>
  <c r="H180"/>
  <c r="F181"/>
  <c r="H181" s="1"/>
  <c r="H587" l="1"/>
  <c r="H16" s="1"/>
  <c r="J16" s="1"/>
  <c r="J588"/>
  <c r="H230"/>
  <c r="J231" s="1"/>
  <c r="H107"/>
  <c r="J107" s="1"/>
  <c r="J363"/>
  <c r="J462"/>
  <c r="H449"/>
  <c r="H450" s="1"/>
  <c r="H440"/>
  <c r="J440" s="1"/>
  <c r="H351"/>
  <c r="J352" s="1"/>
  <c r="H295"/>
  <c r="H297" s="1"/>
  <c r="H273"/>
  <c r="H275" s="1"/>
  <c r="H427"/>
  <c r="H429" s="1"/>
  <c r="H317"/>
  <c r="H319" s="1"/>
  <c r="H196"/>
  <c r="H197" s="1"/>
  <c r="H341"/>
  <c r="J341" s="1"/>
  <c r="H218"/>
  <c r="H219" s="1"/>
  <c r="H128"/>
  <c r="J129" s="1"/>
  <c r="H522"/>
  <c r="J522" s="1"/>
  <c r="H185"/>
  <c r="H187" s="1"/>
  <c r="H416"/>
  <c r="H418" s="1"/>
  <c r="H385"/>
  <c r="J385" s="1"/>
  <c r="H262"/>
  <c r="H264" s="1"/>
  <c r="H374"/>
  <c r="J374" s="1"/>
  <c r="H471"/>
  <c r="H473" s="1"/>
  <c r="J52"/>
  <c r="H486"/>
  <c r="J487" s="1"/>
  <c r="H138"/>
  <c r="H140" s="1"/>
  <c r="J118"/>
  <c r="H154"/>
  <c r="J154" s="1"/>
  <c r="H330"/>
  <c r="J330" s="1"/>
  <c r="H174"/>
  <c r="H164"/>
  <c r="H165"/>
  <c r="H451" l="1"/>
  <c r="J451" s="1"/>
  <c r="H318"/>
  <c r="H198"/>
  <c r="H220"/>
  <c r="J220" s="1"/>
  <c r="H417"/>
  <c r="J418" s="1"/>
  <c r="H274"/>
  <c r="J275" s="1"/>
  <c r="H296"/>
  <c r="J297" s="1"/>
  <c r="H428"/>
  <c r="J429" s="1"/>
  <c r="H186"/>
  <c r="J187" s="1"/>
  <c r="H472"/>
  <c r="J473" s="1"/>
  <c r="H263"/>
  <c r="J264" s="1"/>
  <c r="H139"/>
  <c r="J140" s="1"/>
  <c r="J319"/>
  <c r="J198"/>
  <c r="J165"/>
  <c r="H175"/>
  <c r="H176"/>
  <c r="J176" l="1"/>
  <c r="H535" s="1"/>
  <c r="H551" s="1"/>
  <c r="J535" l="1"/>
  <c r="H14"/>
  <c r="J14" s="1"/>
  <c r="F591"/>
  <c r="H591" s="1"/>
  <c r="H594" s="1"/>
  <c r="J551"/>
  <c r="F820" l="1"/>
  <c r="H820" s="1"/>
  <c r="I820" s="1"/>
  <c r="I821" s="1"/>
  <c r="I60" s="1"/>
  <c r="I62" s="1"/>
  <c r="I64" s="1"/>
  <c r="I65" s="1"/>
  <c r="F815"/>
  <c r="H815" s="1"/>
  <c r="J591"/>
  <c r="J594" s="1"/>
  <c r="H18"/>
  <c r="J18" s="1"/>
  <c r="J815" l="1"/>
  <c r="J820"/>
  <c r="H821"/>
  <c r="F814" l="1"/>
  <c r="H814" s="1"/>
  <c r="H60"/>
  <c r="J821"/>
  <c r="H817" l="1"/>
  <c r="J817" s="1"/>
  <c r="J814"/>
  <c r="H58" l="1"/>
  <c r="H62" s="1"/>
  <c r="H64" s="1"/>
  <c r="H65" s="1"/>
  <c r="J60"/>
  <c r="K14" l="1"/>
  <c r="K54"/>
  <c r="K16"/>
  <c r="K34"/>
  <c r="K30"/>
  <c r="K58"/>
  <c r="K48"/>
  <c r="K26"/>
  <c r="K32"/>
  <c r="J62"/>
  <c r="J64" s="1"/>
  <c r="J65" s="1"/>
  <c r="H67" s="1"/>
  <c r="K44"/>
  <c r="J58"/>
  <c r="K36"/>
  <c r="K56"/>
  <c r="K22"/>
  <c r="K46"/>
  <c r="K52"/>
  <c r="K20"/>
  <c r="K8"/>
  <c r="K12"/>
  <c r="K10"/>
  <c r="K38"/>
  <c r="K60"/>
  <c r="K50"/>
  <c r="K42"/>
  <c r="K40"/>
  <c r="K28"/>
  <c r="K18"/>
  <c r="K24"/>
</calcChain>
</file>

<file path=xl/sharedStrings.xml><?xml version="1.0" encoding="utf-8"?>
<sst xmlns="http://schemas.openxmlformats.org/spreadsheetml/2006/main" count="1408" uniqueCount="406">
  <si>
    <t>TOTAL RUBRO 21</t>
  </si>
  <si>
    <t>TOTAL RUBRO 20</t>
  </si>
  <si>
    <t>TOTAL RUBRO 18</t>
  </si>
  <si>
    <t>MOTORHOMES, TRAILERS Y CAMIONES DE CARGA</t>
  </si>
  <si>
    <t>PASAJES AL INTERIOR</t>
  </si>
  <si>
    <t>LIBRO / ARGUMENTO / GUION</t>
  </si>
  <si>
    <t>VEHICULOS DE PRODUCCION</t>
  </si>
  <si>
    <t>MUSICA</t>
  </si>
  <si>
    <t>SUTEP</t>
  </si>
  <si>
    <t>ALQUILER EQUIPAMIENTO ESPECIAL para LUCES (Grúas, etc.)</t>
  </si>
  <si>
    <t>CO-DIRECTOR</t>
    <phoneticPr fontId="9"/>
  </si>
  <si>
    <t>OTROS - COREOGRAFO / DIRECTOR MUSICAL / COACH</t>
    <phoneticPr fontId="9"/>
  </si>
  <si>
    <t>TOTAL RUBRO 12</t>
  </si>
  <si>
    <t>Posproducción</t>
  </si>
  <si>
    <t>Sábados</t>
  </si>
  <si>
    <t>Domingos</t>
  </si>
  <si>
    <t>TOTAL RUBRO 17</t>
  </si>
  <si>
    <t>TOTAL RUBRO 15</t>
  </si>
  <si>
    <t>COMBUSTIBLE PARA RODADOS</t>
  </si>
  <si>
    <t>CARGAS SOCIALES</t>
  </si>
  <si>
    <t>Meses</t>
  </si>
  <si>
    <t>ALQUILERES</t>
  </si>
  <si>
    <t>REALIZACIONES Y EFECTOS</t>
  </si>
  <si>
    <t>Días</t>
  </si>
  <si>
    <t>SEGURIDAD</t>
  </si>
  <si>
    <t>PROCESOS DE SONIDO</t>
  </si>
  <si>
    <t xml:space="preserve">CADETERIA Y MENSAJERIA </t>
  </si>
  <si>
    <t>Aereos</t>
  </si>
  <si>
    <t>Cant.</t>
  </si>
  <si>
    <t>Micro</t>
  </si>
  <si>
    <t>DIRECTOR</t>
  </si>
  <si>
    <t>EQUIPOS DE SONIDO</t>
  </si>
  <si>
    <t>SUB TOTAL</t>
  </si>
  <si>
    <t>FUERZA MOTRIZ</t>
  </si>
  <si>
    <t>MOVILIDAD</t>
  </si>
  <si>
    <t xml:space="preserve"> </t>
  </si>
  <si>
    <t>DIRECCION</t>
  </si>
  <si>
    <t>PRODUCCION</t>
  </si>
  <si>
    <t>Importe</t>
  </si>
  <si>
    <t>Cantidad</t>
  </si>
  <si>
    <t>Sem.</t>
  </si>
  <si>
    <t>PRODUCTOR EJECUTIVO</t>
    <phoneticPr fontId="9"/>
  </si>
  <si>
    <t>ESCENOGRAFIA</t>
  </si>
  <si>
    <t>EFECTOS ESPECIALES</t>
  </si>
  <si>
    <t>TOTAL RUBRO 6</t>
  </si>
  <si>
    <t>TOTAL RUBRO 24</t>
  </si>
  <si>
    <t>TOTAL RUBRO 25</t>
  </si>
  <si>
    <t>PRODUCTOR DELEGADO</t>
  </si>
  <si>
    <t>COPISTERIA</t>
  </si>
  <si>
    <t>TOTAL RUBRO 9</t>
  </si>
  <si>
    <t>COMPRA MATERIALES</t>
    <phoneticPr fontId="9"/>
  </si>
  <si>
    <t>FLETES DE EQUIPOS Y UTILERA</t>
  </si>
  <si>
    <t>TOTAL</t>
  </si>
  <si>
    <t>TOTAL RUBRO 5</t>
  </si>
  <si>
    <t>IVA</t>
    <phoneticPr fontId="9"/>
  </si>
  <si>
    <t>IVA</t>
    <phoneticPr fontId="9"/>
  </si>
  <si>
    <t>SADEM</t>
  </si>
  <si>
    <t>TOTAL RUBRO 10</t>
  </si>
  <si>
    <t>Mes</t>
  </si>
  <si>
    <t>LAVANDERIA, TINTORERIA, ARREGLOS, etc.</t>
  </si>
  <si>
    <t>OTROS - Desarrollo</t>
    <phoneticPr fontId="9"/>
  </si>
  <si>
    <t>DESGLOSE POR RUBROS</t>
  </si>
  <si>
    <t>Tickets aéreos</t>
    <phoneticPr fontId="9"/>
  </si>
  <si>
    <t>TOTAL RUBRO 22</t>
  </si>
  <si>
    <t>OTROS COSTOS</t>
  </si>
  <si>
    <t>SEGUROS</t>
  </si>
  <si>
    <t xml:space="preserve">ALQUILER DE OFICINAS </t>
    <phoneticPr fontId="9"/>
  </si>
  <si>
    <t>TOTAL RUBRO 11</t>
  </si>
  <si>
    <t>COMBUSTIBLE GENERADOR</t>
  </si>
  <si>
    <t>HONORARIOS LEGALES</t>
  </si>
  <si>
    <t>HONORARIOS PROFESIONAL CONTABLE</t>
  </si>
  <si>
    <t>TOTAL RUBRO 23</t>
  </si>
  <si>
    <t>Total</t>
  </si>
  <si>
    <t>Unidad</t>
  </si>
  <si>
    <t>LOCACIONES</t>
  </si>
  <si>
    <t>DIRECTOR DE PRODUCCION</t>
    <phoneticPr fontId="9"/>
  </si>
  <si>
    <t>TOTAL RUBRO 7</t>
  </si>
  <si>
    <t>Rodaje</t>
  </si>
  <si>
    <t>RUBROS</t>
  </si>
  <si>
    <t>TOTAL RUBRO 4</t>
  </si>
  <si>
    <t>TOTAL RUBRO 1</t>
  </si>
  <si>
    <t>TOTAL RUBRO 2</t>
  </si>
  <si>
    <t>TOTAL RUBRO 3</t>
  </si>
  <si>
    <t>Preproducción</t>
  </si>
  <si>
    <t>ADMINISTRACION</t>
  </si>
  <si>
    <t>ACCESORIOS</t>
  </si>
  <si>
    <t>MANTENIMIENTO Y LIMPIEZA</t>
  </si>
  <si>
    <t>STORY BOARD</t>
  </si>
  <si>
    <t>OTROS</t>
  </si>
  <si>
    <t xml:space="preserve"> Unidad</t>
  </si>
  <si>
    <t>MAQUILLAJE</t>
  </si>
  <si>
    <t>TOTALES</t>
  </si>
  <si>
    <t>TOTAL RUBRO 14</t>
  </si>
  <si>
    <t>TOTAL RUBRO 13</t>
  </si>
  <si>
    <t>Comidas x día</t>
  </si>
  <si>
    <t>MATERIAL DE ARCHIVO</t>
  </si>
  <si>
    <t>TOTAL RUBRO 8</t>
  </si>
  <si>
    <t>CONTRATACIONES DE MATERIAL DE ARCHIVO</t>
  </si>
  <si>
    <t>Transporte vehículos de acción</t>
    <phoneticPr fontId="9"/>
  </si>
  <si>
    <t>OTROS MATERIALES</t>
    <phoneticPr fontId="9"/>
  </si>
  <si>
    <t>OTROS - MATERIALES</t>
    <phoneticPr fontId="9"/>
  </si>
  <si>
    <t>PASAJES AL EXTERIOR</t>
    <phoneticPr fontId="9"/>
  </si>
  <si>
    <t>Gastos transporte aeropuertos</t>
    <phoneticPr fontId="9"/>
  </si>
  <si>
    <t>Transporte equipos especiales (gruas, construcciones luces, etc)</t>
    <phoneticPr fontId="9"/>
  </si>
  <si>
    <t>SECRETARIA PRODUCCION</t>
  </si>
  <si>
    <t>LUCES</t>
  </si>
  <si>
    <t>GRIP</t>
  </si>
  <si>
    <t>COMPRAS VARIAS - para CAMARA, LUCES, GRIP Y SONIDO</t>
  </si>
  <si>
    <t xml:space="preserve">Total </t>
  </si>
  <si>
    <t xml:space="preserve">Mes </t>
  </si>
  <si>
    <t xml:space="preserve">Días </t>
  </si>
  <si>
    <t xml:space="preserve">RESCRITURAS </t>
  </si>
  <si>
    <t xml:space="preserve">LIBRO ORIGINAL </t>
  </si>
  <si>
    <t>Hs. Extras Diurnas (3hs x Extra)</t>
  </si>
  <si>
    <t xml:space="preserve">PERSONAL TECNICO, ARTISTICO, CHOFERES, SEGURIDAD,  etc. </t>
  </si>
  <si>
    <t>Días rodaje</t>
  </si>
  <si>
    <t>OTROS (postizos, tatuajes, etc)</t>
  </si>
  <si>
    <t>REALIZACIONES / MODIFICACIONES DECORADOS, pinturas, etc.</t>
  </si>
  <si>
    <t>Total c/IVA</t>
  </si>
  <si>
    <t>Cot. Dólar</t>
  </si>
  <si>
    <r>
      <t>Prep</t>
    </r>
    <r>
      <rPr>
        <sz val="10"/>
        <rFont val="Arial"/>
        <family val="2"/>
      </rPr>
      <t>roducción</t>
    </r>
  </si>
  <si>
    <r>
      <t>MOTOR HOME VESTUARIO</t>
    </r>
    <r>
      <rPr>
        <sz val="10"/>
        <rFont val="Arial"/>
        <family val="2"/>
      </rPr>
      <t>/ Maquillaje</t>
    </r>
  </si>
  <si>
    <t>FLETES - Utilería, ambientación, Producción (Pre., Rodaje y Pos.)</t>
  </si>
  <si>
    <t>EQUIPO TECNICO</t>
  </si>
  <si>
    <t>CONSUMOS, REPOSICIONES, ROTURAS</t>
  </si>
  <si>
    <t>EQUIPOS DE COMUNICACIÓN (Handies)</t>
  </si>
  <si>
    <t>SAC</t>
  </si>
  <si>
    <t>Remun. Bruta</t>
  </si>
  <si>
    <t xml:space="preserve">SERVICIO DE CATERING  (Desayuno y Almuerzo ) </t>
  </si>
  <si>
    <t>DISCOS DUROS EXTERNOS</t>
  </si>
  <si>
    <t>dac2014</t>
  </si>
  <si>
    <t>DAC2015</t>
  </si>
  <si>
    <t xml:space="preserve">GRUA </t>
  </si>
  <si>
    <r>
      <t>CAMARA Y SONIDO</t>
    </r>
    <r>
      <rPr>
        <sz val="10"/>
        <rFont val="Arial"/>
        <family val="2"/>
      </rPr>
      <t xml:space="preserve"> (Furgon)</t>
    </r>
  </si>
  <si>
    <t>ALQUILER GENERADOR</t>
  </si>
  <si>
    <t>Mens</t>
  </si>
  <si>
    <t>Meses trabajados</t>
  </si>
  <si>
    <t>Hs Extras x Mes.</t>
  </si>
  <si>
    <t xml:space="preserve">GUION </t>
  </si>
  <si>
    <t>COORDINADOR DE PRODUCCION (CAT 1)</t>
  </si>
  <si>
    <t>JEFE DE PRODUCCION (CAT 1)</t>
  </si>
  <si>
    <t>ASISTENTE DE PRODUCCION OFICINA (CAT 6)</t>
  </si>
  <si>
    <t xml:space="preserve"> Mens </t>
  </si>
  <si>
    <t xml:space="preserve"> Mes </t>
  </si>
  <si>
    <t>ASISTENTE DE LOCACIONES (CAT 6)</t>
  </si>
  <si>
    <t>PRODUCTOR DE OFICINA (CAT 3)</t>
  </si>
  <si>
    <t>ASISTENTE DE PRODUCCION EXTERIORES  (2) (CAT 6)</t>
  </si>
  <si>
    <t>1 linea</t>
  </si>
  <si>
    <t>2 linea</t>
  </si>
  <si>
    <t>Jornada</t>
  </si>
  <si>
    <t xml:space="preserve">SAT </t>
  </si>
  <si>
    <t>ADICIONALES SAT</t>
  </si>
  <si>
    <t>Antigüedad</t>
  </si>
  <si>
    <t>Comidas</t>
  </si>
  <si>
    <t>Merienda</t>
  </si>
  <si>
    <t>Exteriores</t>
  </si>
  <si>
    <t>Torre</t>
  </si>
  <si>
    <t>Guardería</t>
  </si>
  <si>
    <t>Ropa</t>
  </si>
  <si>
    <t>UTILERIA/AMBIENTACIÓN</t>
  </si>
  <si>
    <t>Global</t>
  </si>
  <si>
    <t>Capitulo</t>
  </si>
  <si>
    <t xml:space="preserve">REALIZACIONES </t>
  </si>
  <si>
    <t>APUNTADOR (CONTRATO MENSUAL)</t>
  </si>
  <si>
    <t>Semana</t>
  </si>
  <si>
    <t>COMPRAS</t>
  </si>
  <si>
    <t>REALIZACIONES</t>
  </si>
  <si>
    <t>ALQUILERES (Jornadas 10 hs)</t>
  </si>
  <si>
    <t>Bases (valor x Jornada 5 x semana)</t>
  </si>
  <si>
    <t>Movilidad Locador</t>
  </si>
  <si>
    <t>Tramite</t>
  </si>
  <si>
    <t>Varios de Locaciones, estacionamientos y peajes</t>
  </si>
  <si>
    <t>POST DE SONIDO Y MEZCLA</t>
  </si>
  <si>
    <t>ESTACION DE BAJADA</t>
  </si>
  <si>
    <t>SUB TOTAL ADICIONALES</t>
  </si>
  <si>
    <t>SUB TOTAL RUBRO 4</t>
  </si>
  <si>
    <t xml:space="preserve">TELEFONIA FIJA BASICA </t>
  </si>
  <si>
    <t xml:space="preserve">PAPELERIA DE OFICINA </t>
  </si>
  <si>
    <t>SERVICIOS</t>
  </si>
  <si>
    <t>MULTICOPIADORA</t>
  </si>
  <si>
    <t>VARIOS DE PRODUCCION</t>
  </si>
  <si>
    <t>CONTINGENCIAS</t>
  </si>
  <si>
    <t xml:space="preserve">OTROS </t>
  </si>
  <si>
    <t>IMPUESTOS</t>
  </si>
  <si>
    <t>IIBB</t>
  </si>
  <si>
    <t>3% DEL COSTO TOTAL</t>
  </si>
  <si>
    <t>TOTAL RUBRO 26</t>
  </si>
  <si>
    <t>Reposición Maquillaje</t>
  </si>
  <si>
    <t>Mensual</t>
  </si>
  <si>
    <t>REPOSICIONES</t>
  </si>
  <si>
    <t>AUTOS DE ACCION  ( 2 Autos por semana)</t>
  </si>
  <si>
    <t>AMBIENTACION</t>
  </si>
  <si>
    <t>PROCESO DE POSTPRODUCCIÓN</t>
  </si>
  <si>
    <t>DETALLE POST DE VIDEO</t>
  </si>
  <si>
    <t>Capítulo</t>
  </si>
  <si>
    <t>EQUIPO DE POST PRODUCCION</t>
  </si>
  <si>
    <t>EQUIPO TECNICO DE EXTERIORES</t>
  </si>
  <si>
    <t>PRODUCCION DE OFICINA</t>
  </si>
  <si>
    <t>Semanal</t>
  </si>
  <si>
    <t>PRENSA</t>
  </si>
  <si>
    <t xml:space="preserve"> 3 medidas, set de cuñas , Etc)</t>
  </si>
  <si>
    <r>
      <t>MATERIAL ELECTRICO y GRIP</t>
    </r>
    <r>
      <rPr>
        <sz val="10"/>
        <rFont val="Arial"/>
        <family val="2"/>
      </rPr>
      <t xml:space="preserve"> (camión mediano)</t>
    </r>
  </si>
  <si>
    <t>Comidas Crew Avanzada 2 veces por semana.</t>
  </si>
  <si>
    <t>Subtotal</t>
  </si>
  <si>
    <t>ELENCO PRINCIPAL  (CONTRATO AAA  MENSUAL X 3 MESES)</t>
  </si>
  <si>
    <t>1 Invitado 1 línea</t>
  </si>
  <si>
    <t>1 Actor 2 línea</t>
  </si>
  <si>
    <t>Valor Bolo (6,25 hs)</t>
  </si>
  <si>
    <t xml:space="preserve">Valor Excedentes 180' </t>
  </si>
  <si>
    <t>Valor  Bolo</t>
  </si>
  <si>
    <t>Otras Locaciones 1 por capitulo ( 1Jornada x semana)</t>
  </si>
  <si>
    <r>
      <t xml:space="preserve">BASET - Habilitación Vía Pública </t>
    </r>
    <r>
      <rPr>
        <b/>
        <sz val="10"/>
        <rFont val="Arial"/>
        <family val="2"/>
      </rPr>
      <t xml:space="preserve">(semestral) </t>
    </r>
  </si>
  <si>
    <r>
      <t xml:space="preserve">BASET - Cortes de Calle "Resto de la Ciudad" Diurno </t>
    </r>
    <r>
      <rPr>
        <b/>
        <sz val="10"/>
        <rFont val="Arial"/>
        <family val="2"/>
      </rPr>
      <t>(1 x semana)</t>
    </r>
  </si>
  <si>
    <r>
      <t xml:space="preserve">BASET - Reducción Carril para despeje "Resto de la Ciudad" Diurno </t>
    </r>
    <r>
      <rPr>
        <b/>
        <sz val="10"/>
        <rFont val="Arial"/>
        <family val="2"/>
      </rPr>
      <t>(1 x día)</t>
    </r>
  </si>
  <si>
    <r>
      <t xml:space="preserve">BASET- Vereda </t>
    </r>
    <r>
      <rPr>
        <b/>
        <sz val="10"/>
        <rFont val="Arial"/>
        <family val="2"/>
      </rPr>
      <t>(1 x capitulo)</t>
    </r>
  </si>
  <si>
    <r>
      <t xml:space="preserve">BASET - Estacionamiento vehiculos de filmación </t>
    </r>
    <r>
      <rPr>
        <b/>
        <sz val="10"/>
        <rFont val="Arial"/>
        <family val="2"/>
      </rPr>
      <t>(1 x dia)</t>
    </r>
  </si>
  <si>
    <t>PERMISOS DE RODAJE (12 hs) Los valores son cada 130 mts</t>
  </si>
  <si>
    <r>
      <t xml:space="preserve">BASET - Espacios Verdes, jornadas de rodaje </t>
    </r>
    <r>
      <rPr>
        <b/>
        <sz val="10"/>
        <rFont val="Arial"/>
        <family val="2"/>
      </rPr>
      <t>(5 plazas en toda la serie )</t>
    </r>
  </si>
  <si>
    <r>
      <t xml:space="preserve">Baset Gestion de tramite </t>
    </r>
    <r>
      <rPr>
        <b/>
        <sz val="10"/>
        <rFont val="Arial"/>
        <family val="2"/>
      </rPr>
      <t>(por tramite)</t>
    </r>
  </si>
  <si>
    <t>TOTAL RUBRO 16</t>
  </si>
  <si>
    <t xml:space="preserve"> + Accesorios (Hand grip, Follow focus Trípodes, filtros varios, Monitores 24"</t>
  </si>
  <si>
    <t>CAMARA (Equipamiento completo de cámara y monitoreo)</t>
  </si>
  <si>
    <t>Accesorios (Trípodes, líneas, tableros, zapatillas,bolsas de arena, tres medidas ,</t>
  </si>
  <si>
    <t>pantallas banderas, marcos,portatelgos,barracudas, plaquetas, alargues, etc)</t>
  </si>
  <si>
    <t xml:space="preserve">Carro de travelling y Accesorios ( Vías rectas y curvas, bolsas, </t>
  </si>
  <si>
    <t>2 Micrófonos boom Sennheizer 416 Phantom  / 2 zeppelin Sennheiser</t>
  </si>
  <si>
    <t>2 Microfonos Sennheiser MKH 416P , Sistema IFB zaxcom.</t>
  </si>
  <si>
    <t xml:space="preserve"> Carro portaequipos, Manguera de mic y retorno, accesorios, etc. </t>
  </si>
  <si>
    <t xml:space="preserve"> Varios: cámaras, luces, accesorios, grip, etc  </t>
  </si>
  <si>
    <t>TOTAL RUBRO 19</t>
  </si>
  <si>
    <t>Extra por Capitulo</t>
  </si>
  <si>
    <t>COMIDAS</t>
  </si>
  <si>
    <t>EQUIPOS DE CAMARAS/LUCES/SONIDO</t>
  </si>
  <si>
    <r>
      <t>VAC</t>
    </r>
    <r>
      <rPr>
        <sz val="9"/>
        <rFont val="Arial"/>
        <family val="2"/>
      </rPr>
      <t xml:space="preserve"> no gozadas</t>
    </r>
  </si>
  <si>
    <t>%</t>
  </si>
  <si>
    <t>horas</t>
  </si>
  <si>
    <t>(2) Hs extras diarias por fuera de las 7+3 hs  para 10 técnicos.</t>
  </si>
  <si>
    <t>BOLOS MINIMOS (CANT. 5 X CAPITULO)</t>
  </si>
  <si>
    <r>
      <t xml:space="preserve">CARGAS SOCIALES  </t>
    </r>
    <r>
      <rPr>
        <sz val="9"/>
        <rFont val="Arial"/>
        <family val="2"/>
      </rPr>
      <t xml:space="preserve">  (incluye ART)</t>
    </r>
  </si>
  <si>
    <t>ELENCO</t>
  </si>
  <si>
    <t>Postproducción</t>
  </si>
  <si>
    <t>Capítulos</t>
  </si>
  <si>
    <t>EXTRAS (SUTEP)  (9  EXTRAS COMUNES X CAPITULO)</t>
  </si>
  <si>
    <t>9 Extras  x capitulo + Planillero</t>
  </si>
  <si>
    <t>A.A.A</t>
  </si>
  <si>
    <t>ALQUILER DEPOSITO VESTUARIO</t>
  </si>
  <si>
    <t>Reposición materiales de Peinado</t>
  </si>
  <si>
    <t xml:space="preserve">AYUDANTES </t>
  </si>
  <si>
    <t>Locación Principal 1 por capitulo (4 Jornadas x semana)</t>
  </si>
  <si>
    <t>Limpieza de Locaciones (Valor diario 1 servicio por semana)</t>
  </si>
  <si>
    <t>Combustible</t>
  </si>
  <si>
    <t xml:space="preserve">Post y Mezcla de sonido en Protools. </t>
  </si>
  <si>
    <t xml:space="preserve"> MacBook Pro 15" RETINA - Intel Core i7 2.6 GHz - 16 GB RAM - HD 1 TB SSD -GEFORCE G750M 2048 MB- 1x
Puerto HDMI -2x USB3 – 2x Thunderbolt – 1x Ranura SD Card
-1x CalDigit TS2 - Dock Station - 2 puertos eSata - 2 puertos Thunderbolt - 2 puertos USB3
-1x Soft para Data Managment Shotput Pro
-1x Soft para Trasco DaVinci Resolve Lite 
-1 grabador de Video Devices </t>
  </si>
  <si>
    <t xml:space="preserve">Tv logic  con instrumentos para monitoreo, tarjetas, etc.) </t>
  </si>
  <si>
    <t>VESTUARIO</t>
  </si>
  <si>
    <t>Locación Secundaria</t>
  </si>
  <si>
    <t>CONTRATACION EMPRESA EFECTOS ESPECIALES EN SET</t>
  </si>
  <si>
    <t xml:space="preserve">Ej. Lluvia, Stunts, armas, disparos, explosiones, etc. </t>
  </si>
  <si>
    <t>Grabador Multitrack 8 canales</t>
  </si>
  <si>
    <t xml:space="preserve">Sistema de monitoreo inhalambrico y auriculares, 4 Sist. Inalámbrico Lectrosonic, </t>
  </si>
  <si>
    <t>AUTOS</t>
  </si>
  <si>
    <t>ADMINISTRACIÓN</t>
  </si>
  <si>
    <r>
      <t>SEGURIDAD PARA FILMACION</t>
    </r>
    <r>
      <rPr>
        <sz val="10"/>
        <rFont val="Arial"/>
        <family val="2"/>
      </rPr>
      <t xml:space="preserve"> (1 x día + 1 de despeje x 2 días x sem)</t>
    </r>
  </si>
  <si>
    <t>IMPUESTOS a los Débitos y Créditos</t>
  </si>
  <si>
    <r>
      <t xml:space="preserve">COMPOSITOR </t>
    </r>
    <r>
      <rPr>
        <sz val="10"/>
        <rFont val="Arial"/>
        <family val="2"/>
      </rPr>
      <t>(cortina, Música fondo, leit-motiv, etc.) Autoría Integral (SADAIC)</t>
    </r>
  </si>
  <si>
    <r>
      <t xml:space="preserve">SADEM </t>
    </r>
    <r>
      <rPr>
        <sz val="10"/>
        <rFont val="Arial"/>
        <family val="2"/>
      </rPr>
      <t xml:space="preserve">(x interpretación) música original </t>
    </r>
  </si>
  <si>
    <t>VFX - GRÁFICA APERTURA / TÍTULOS</t>
  </si>
  <si>
    <t>Servicios Gráficos y de Efectos Visuales para Apertura / Títulos</t>
  </si>
  <si>
    <t>Ingesta y Back up de Material - Alquiler de isla de edición</t>
  </si>
  <si>
    <t>y complementaria para asistente - incluye corrección vfx sencillos</t>
  </si>
  <si>
    <t>CORRECCION DE COLOR - ON LINE</t>
  </si>
  <si>
    <t xml:space="preserve">Conformado On Line y Corrección de color en Scratch (con colorista) </t>
  </si>
  <si>
    <t>Comidas en Pruebas de Maquillaje y Peinado / Pruebas de Cámara / Scounting</t>
  </si>
  <si>
    <t>VAN traslados equipo rodaje X 2 - 100 km. Libres (incl. Scouting)</t>
  </si>
  <si>
    <r>
      <t xml:space="preserve">GESTIÓN PERMISO DE MENORES </t>
    </r>
    <r>
      <rPr>
        <sz val="10"/>
        <rFont val="Arial"/>
        <family val="2"/>
      </rPr>
      <t>(EVENTUAL)</t>
    </r>
  </si>
  <si>
    <r>
      <t xml:space="preserve">IVA </t>
    </r>
    <r>
      <rPr>
        <sz val="10"/>
        <rFont val="Arial"/>
        <family val="2"/>
      </rPr>
      <t>(Está calculado en cada Rubro)</t>
    </r>
  </si>
  <si>
    <t>SEGUROS EQUIPOS Y RC</t>
  </si>
  <si>
    <t>Equipamiento / Responsabilidad Civil</t>
  </si>
  <si>
    <r>
      <t>ACCIDENTES PERSONALES</t>
    </r>
    <r>
      <rPr>
        <sz val="10"/>
        <rFont val="Arial"/>
        <family val="2"/>
      </rPr>
      <t xml:space="preserve"> (Proveedores y Extras)</t>
    </r>
  </si>
  <si>
    <t>5 Bolos x capitulo</t>
  </si>
  <si>
    <t>Viáticos x traslado Capital Federal</t>
  </si>
  <si>
    <t>ALQUILER DEPÓSITO DE ARTE</t>
  </si>
  <si>
    <t>OTROS SERVICIOS</t>
  </si>
  <si>
    <t>STEADYCAM con Operador</t>
  </si>
  <si>
    <t>Faroles: H.M.I. - Fresneles -  Artefactos de tubos</t>
  </si>
  <si>
    <t>GRIPS especiales</t>
  </si>
  <si>
    <t xml:space="preserve">Van Departamento de Arte  (con Chofer) </t>
  </si>
  <si>
    <t>Auto Vestuario (con Chofer) incluye Combustible</t>
  </si>
  <si>
    <t>Remises - Varios - Actores</t>
  </si>
  <si>
    <t>TAXIS - REMISES - TRENES - SUBTERRANEOS</t>
  </si>
  <si>
    <t>Estacionamiento  - Peajes</t>
  </si>
  <si>
    <t xml:space="preserve">Peones. (carga y descarga) </t>
  </si>
  <si>
    <t>Generador Principal y Generadores Portatiles</t>
  </si>
  <si>
    <t>CAJA CHICA OFICINA</t>
  </si>
  <si>
    <t>3 X Minimo  AAA</t>
  </si>
  <si>
    <t>ELENCO CO-PROTAGONISTA ( BOLO / 3 a 4 JORNADAS DE LABOR)</t>
  </si>
  <si>
    <t>15 equipos  + Accesorios, cargadores, Baterías, caja de traslado. TOTAL</t>
  </si>
  <si>
    <t>TOTAL RUBRO 27</t>
  </si>
  <si>
    <t>CONTINGENCIA</t>
  </si>
  <si>
    <t>JEFE DE LOCACIONES  (CAT 1)</t>
  </si>
  <si>
    <t>DIRECTOR DE FOTOGRAFIA (CAT 1)</t>
  </si>
  <si>
    <t>JEFE TECNICO (CAT 1)</t>
  </si>
  <si>
    <t>PEINADOR (CAT 3)</t>
  </si>
  <si>
    <t>AYUDANTE DE MAQUILLAJE / PEINADO (CAT 6)</t>
  </si>
  <si>
    <t>DIRECTOR DE ARTE (CAT 1)</t>
  </si>
  <si>
    <t>AYUDANTE DE EDICION / LOGGER (2 ) (CAT 6)</t>
  </si>
  <si>
    <t>TELEFONIA MOVIL (PARA 20 PERSONAS ALQUILER Y CONSUMO)</t>
  </si>
  <si>
    <t>Impresión de banners, evento de presentación, fotógrafos, etc</t>
  </si>
  <si>
    <t>TOTAL GENERAL</t>
  </si>
  <si>
    <t>DIRECTOR DE CASTING (CAT 1)</t>
  </si>
  <si>
    <t>ASISTENTE DE DIRECCION (CAT 1)</t>
  </si>
  <si>
    <t>CAMAROGRAFO (2)  (CAT 2)</t>
  </si>
  <si>
    <r>
      <t xml:space="preserve">DATA MANAGER - VIDEO ASSIST (CAT </t>
    </r>
    <r>
      <rPr>
        <b/>
        <sz val="10"/>
        <rFont val="Arial"/>
        <family val="2"/>
      </rPr>
      <t>2</t>
    </r>
    <r>
      <rPr>
        <b/>
        <sz val="10"/>
        <rFont val="Arial"/>
        <family val="2"/>
      </rPr>
      <t>)</t>
    </r>
  </si>
  <si>
    <t>COORDINADOR/A DE ARTE (CAT 3)</t>
  </si>
  <si>
    <t>VESTUARISTA (CAT 1)</t>
  </si>
  <si>
    <t>COORDINADOR DE VESTUARIO (CAT 3)</t>
  </si>
  <si>
    <t xml:space="preserve">EDITOR (CAT 1) </t>
  </si>
  <si>
    <t>COORDINADOR DE POST PRODUCCION  (CAT 3)</t>
  </si>
  <si>
    <r>
      <t xml:space="preserve">BASET -  Bocacalle "Resto de la Ciudad" Diurno </t>
    </r>
    <r>
      <rPr>
        <b/>
        <sz val="10"/>
        <rFont val="Arial"/>
        <family val="2"/>
      </rPr>
      <t>(3 en los 8 capitulos)</t>
    </r>
  </si>
  <si>
    <r>
      <t xml:space="preserve">BASET - Estacionamiento vehiculos Recorrido con Base </t>
    </r>
    <r>
      <rPr>
        <b/>
        <sz val="10"/>
        <rFont val="Arial"/>
        <family val="2"/>
      </rPr>
      <t>(2 en los8 capitulos)</t>
    </r>
  </si>
  <si>
    <r>
      <t>Derechos Régimen Telefilm (SADAIC) vigencia hasta Agosto 20</t>
    </r>
    <r>
      <rPr>
        <sz val="10"/>
        <rFont val="Arial"/>
        <family val="2"/>
      </rPr>
      <t>20</t>
    </r>
  </si>
  <si>
    <t xml:space="preserve">6 tarjetas </t>
  </si>
  <si>
    <t>storage on line</t>
  </si>
  <si>
    <t>data storage</t>
  </si>
  <si>
    <t>LAB &amp; MEDIA MANAGEMENT</t>
  </si>
  <si>
    <t xml:space="preserve">Mezcla </t>
  </si>
  <si>
    <r>
      <t xml:space="preserve">2 Cámaras (Alexa / </t>
    </r>
    <r>
      <rPr>
        <sz val="10"/>
        <rFont val="Arial"/>
        <family val="2"/>
      </rPr>
      <t>Venice</t>
    </r>
    <r>
      <rPr>
        <sz val="10"/>
        <rFont val="Arial"/>
        <family val="2"/>
      </rPr>
      <t>) + Opticas (Compact Prime SET / 18-35-50-85-135 MM)</t>
    </r>
  </si>
  <si>
    <t>total</t>
  </si>
  <si>
    <t>Escala</t>
  </si>
  <si>
    <t>Funciones</t>
  </si>
  <si>
    <t>A</t>
  </si>
  <si>
    <t>Director - Productor</t>
  </si>
  <si>
    <t>Realizador - Escenógrafo - Iluminador</t>
  </si>
  <si>
    <t>Asistente dirección - Vestuarista - Coordinador - Operador de cámaras / VTR</t>
  </si>
  <si>
    <t>Operador de cámara - Sonidista - Op.tecn.video - Realizador escenografía</t>
  </si>
  <si>
    <t>Ambientador - Asist.iluminación - Continuista - of.adm - técnico electricista</t>
  </si>
  <si>
    <t>Asistente prod - Caracterizador - Utilero Realizador</t>
  </si>
  <si>
    <t>Asistente arte - Asistente grip - Microfonista - Modista realizadora - Peinador - Reflectorista - Utilero - Logger</t>
  </si>
  <si>
    <t>Conductor de cámaras</t>
  </si>
  <si>
    <t>Chofer - Modista</t>
  </si>
  <si>
    <t>Bruto 7hs  OCT-21</t>
  </si>
  <si>
    <t>Bruto 8hs   OCT-21</t>
  </si>
  <si>
    <t>Bruto 9hs   OCT-21</t>
  </si>
  <si>
    <t>Bruto 10hs   OCT-21</t>
  </si>
  <si>
    <t>Bruto 11hs   OCT-21</t>
  </si>
  <si>
    <t>Bruto 12hs   OCT-21</t>
  </si>
  <si>
    <t>Bruto 13hs   OCT-21</t>
  </si>
  <si>
    <t>AMBIENTADOR/A (CAT 2)</t>
  </si>
  <si>
    <t>COMPRA MATERIALES (Realizaciones + insumos)</t>
  </si>
  <si>
    <t>valor hora</t>
  </si>
  <si>
    <t xml:space="preserve">tarifa baset estimada </t>
  </si>
  <si>
    <t>bolo</t>
  </si>
  <si>
    <t>extras</t>
  </si>
  <si>
    <t>LIBRO/ ARGUMENTO /GUION  (conforme argentores, incl 1 guionista, no incl desarrollo de biblia y personajes)</t>
  </si>
  <si>
    <t>DIRECCION (conforme DAC-SATSAID, incl 1 director, no incl a todos los que puedan participar en el rubro)</t>
  </si>
  <si>
    <t xml:space="preserve"> CONTINUISTA (CAT 3)</t>
  </si>
  <si>
    <t>ASISTENTE DE CAMARA FOQUISTA (2) (CAT 2)</t>
  </si>
  <si>
    <t>ASISTENTE DE CAMARA (2) (CAT 5)</t>
  </si>
  <si>
    <t>GRIP (CAT 4)</t>
  </si>
  <si>
    <t>GAFFER (CAT 3)</t>
  </si>
  <si>
    <t>REFLECTORISTA (2) (CAT 5)</t>
  </si>
  <si>
    <t>OPERADOR DE GENERADOR (5)</t>
  </si>
  <si>
    <t>ASISTENTE DE ARTE (CAT 5)</t>
  </si>
  <si>
    <t>UTILERO (CAT 5)</t>
  </si>
  <si>
    <t>ASISTENTE DE VESTUARIO DE CALLE (CAT 6)</t>
  </si>
  <si>
    <t>ASISTENTE DE VESTUARIO EN SET (CAT 6)</t>
  </si>
  <si>
    <t>OPERADOR DE SONIDO (CAT 2)</t>
  </si>
  <si>
    <t>MICROFONISTA (2) (CAT 4)</t>
  </si>
  <si>
    <t>modificar cat 3</t>
  </si>
  <si>
    <t>cat 5</t>
  </si>
  <si>
    <t>25% plus jefes</t>
  </si>
  <si>
    <t>TOTAL USD</t>
  </si>
  <si>
    <t>semana</t>
  </si>
  <si>
    <t xml:space="preserve">AUXILIAR ADMINISTRATIVO (CAT 5) </t>
  </si>
  <si>
    <t xml:space="preserve">OFICIAL ADMINISTRATIVO (CAT 3) </t>
  </si>
  <si>
    <t>JEFE  DE MAQUILLAJE &amp; PEINADO (CAT 1)</t>
  </si>
  <si>
    <t xml:space="preserve">Director, guionista y productor ejecutivo fuera de convenio </t>
  </si>
  <si>
    <t>AAA</t>
  </si>
  <si>
    <t>Contratos Minimos</t>
  </si>
  <si>
    <t>Minimo mensual unitario</t>
  </si>
  <si>
    <t>Apuntador</t>
  </si>
  <si>
    <t>Valor oct 2024</t>
  </si>
  <si>
    <t>Bolos</t>
  </si>
  <si>
    <t>unitario de 60'</t>
  </si>
  <si>
    <t>bolo extra unitario</t>
  </si>
  <si>
    <t>escalas salariales  1er semestre 2024</t>
  </si>
  <si>
    <t>Valor extra  (10 hs.)</t>
  </si>
  <si>
    <r>
      <t xml:space="preserve"> BASE: Lunes a Viernes 7 hs diarias + 3 extras diarias = 10 hs totales. </t>
    </r>
    <r>
      <rPr>
        <b/>
        <i/>
        <sz val="10"/>
        <color rgb="FFFF0000"/>
        <rFont val="Arial"/>
        <family val="2"/>
      </rPr>
      <t>Valores con Vigencia  1er semestre 2026  (con paritarias estimadas en un 12%)</t>
    </r>
  </si>
  <si>
    <t>Se contempla valor dolar BNA divisa comprador</t>
  </si>
  <si>
    <t>Presupuesto realizado por Betina Brewda, directora general de produccion de Non Stop y Mercedes Duro, head of budgeting Non Stop.</t>
  </si>
  <si>
    <t>SAT DIC 2025</t>
  </si>
  <si>
    <t>Estimado 1er semestre 2026</t>
  </si>
  <si>
    <t>1er sem.2026</t>
  </si>
  <si>
    <t>Valor dic´25</t>
  </si>
  <si>
    <t>sat estimado 1er sem.26</t>
  </si>
  <si>
    <t>1er semestre 2026</t>
  </si>
  <si>
    <t>Tarifa 2025</t>
  </si>
  <si>
    <t>Estan contempladas jornada laboral de 10 horas de trabajo.</t>
  </si>
  <si>
    <t>Se estima 5 dias de rodaje por episodio.</t>
  </si>
  <si>
    <t>El valor del guion es de 6.000 dolares por episodio.</t>
  </si>
  <si>
    <t>Este presupuesto está realizado a la fecha del 10/12/25 para una producción Argentina con un presupuesto mediano.</t>
  </si>
  <si>
    <t>No se contempla vfx.</t>
  </si>
  <si>
    <t>Se ajustaron los costos un 30% para todo 2025 y se proyecta un 12% para el el 1er semestre 2026.</t>
  </si>
  <si>
    <t>Se contempla un incremento del  12% para los salarios bajo convenio SAT SAID.</t>
  </si>
  <si>
    <t>COSTO EPISODICO</t>
  </si>
  <si>
    <t>Presupuesto Unitario Medio - Series 6 capitulos  1er semestre 2026</t>
  </si>
</sst>
</file>

<file path=xl/styles.xml><?xml version="1.0" encoding="utf-8"?>
<styleSheet xmlns="http://schemas.openxmlformats.org/spreadsheetml/2006/main">
  <numFmts count="15">
    <numFmt numFmtId="164" formatCode="_(&quot;$&quot;\ * #,##0.00_);_(&quot;$&quot;\ * \(#,##0.00\);_(&quot;$&quot;\ * &quot;-&quot;??_);_(@_)"/>
    <numFmt numFmtId="165" formatCode="_ &quot;$&quot;\ * #,##0.00_ ;_ &quot;$&quot;\ * \-#,##0.00_ ;_ &quot;$&quot;\ * &quot;-&quot;??_ ;_ @_ "/>
    <numFmt numFmtId="166" formatCode="_ * #,##0.00_ ;_ * \-#,##0.00_ ;_ * &quot;-&quot;??_ ;_ @_ "/>
    <numFmt numFmtId="167" formatCode="00"/>
    <numFmt numFmtId="168" formatCode="#,##0.0"/>
    <numFmt numFmtId="169" formatCode="[$$-409]#,##0.00"/>
    <numFmt numFmtId="170" formatCode="_(&quot;$&quot;* #,##0.00_);_(&quot;$&quot;* \(#,##0.00\);_(&quot;$&quot;* &quot;-&quot;??_);_(@_)"/>
    <numFmt numFmtId="171" formatCode="_(&quot;$&quot;* #,##0.0_);_(&quot;$&quot;* \(#,##0.0\);_(&quot;$&quot;* &quot;-&quot;??_);_(@_)"/>
    <numFmt numFmtId="172" formatCode="_(&quot;$&quot;* #,##0_);_(&quot;$&quot;* \(#,##0\);_(&quot;$&quot;* &quot;-&quot;??_);_(@_)"/>
    <numFmt numFmtId="173" formatCode="&quot;$&quot;\ #,##0.00"/>
    <numFmt numFmtId="174" formatCode="0.0"/>
    <numFmt numFmtId="175" formatCode="_(&quot;$&quot;\ * #,##0_);_(&quot;$&quot;\ * \(#,##0\);_(&quot;$&quot;\ * &quot;-&quot;??_);_(@_)"/>
    <numFmt numFmtId="176" formatCode="&quot;$&quot;\ #,##0"/>
    <numFmt numFmtId="177" formatCode="_ * #,##0_ ;_ * \-#,##0_ ;_ * &quot;-&quot;??_ ;_ @_ "/>
    <numFmt numFmtId="178" formatCode="_([$USD]\ * #,##0_);_([$USD]\ * \(#,##0\);_([$USD]\ * &quot;-&quot;_);_(@_)"/>
  </numFmts>
  <fonts count="4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8"/>
      <name val="Verdana"/>
      <family val="2"/>
    </font>
    <font>
      <sz val="9.5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i/>
      <sz val="9"/>
      <color theme="0" tint="-0.499984740745262"/>
      <name val="Arial"/>
      <family val="2"/>
    </font>
    <font>
      <b/>
      <sz val="6"/>
      <color theme="0" tint="-4.9989318521683403E-2"/>
      <name val="Arial"/>
      <family val="2"/>
    </font>
    <font>
      <sz val="11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i/>
      <sz val="9"/>
      <color theme="0" tint="-0.49998474074526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i/>
      <sz val="10"/>
      <color rgb="FFFF000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10"/>
      <color theme="1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90B6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8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55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55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/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166" fontId="2" fillId="0" borderId="0" applyFont="0" applyFill="0" applyBorder="0" applyAlignment="0" applyProtection="0"/>
    <xf numFmtId="0" fontId="23" fillId="0" borderId="0"/>
    <xf numFmtId="0" fontId="1" fillId="0" borderId="0"/>
    <xf numFmtId="165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" fillId="0" borderId="0"/>
    <xf numFmtId="170" fontId="1" fillId="0" borderId="0" applyFont="0" applyFill="0" applyBorder="0" applyAlignment="0" applyProtection="0"/>
    <xf numFmtId="164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9" fillId="0" borderId="0"/>
  </cellStyleXfs>
  <cellXfs count="615">
    <xf numFmtId="0" fontId="0" fillId="0" borderId="0" xfId="0"/>
    <xf numFmtId="0" fontId="5" fillId="2" borderId="1" xfId="0" applyFont="1" applyFill="1" applyBorder="1" applyAlignment="1" applyProtection="1">
      <alignment horizontal="righ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3" fontId="11" fillId="2" borderId="0" xfId="0" applyNumberFormat="1" applyFont="1" applyFill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12" fillId="2" borderId="3" xfId="0" applyFont="1" applyFill="1" applyBorder="1" applyAlignment="1" applyProtection="1">
      <alignment horizontal="right" vertical="center"/>
      <protection locked="0"/>
    </xf>
    <xf numFmtId="0" fontId="8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3" fontId="11" fillId="3" borderId="0" xfId="0" applyNumberFormat="1" applyFont="1" applyFill="1" applyAlignment="1" applyProtection="1">
      <alignment horizontal="center" vertical="center"/>
      <protection locked="0"/>
    </xf>
    <xf numFmtId="0" fontId="4" fillId="2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0" fillId="2" borderId="1" xfId="0" applyFill="1" applyBorder="1" applyAlignment="1" applyProtection="1">
      <alignment horizontal="right" vertical="center"/>
      <protection locked="0"/>
    </xf>
    <xf numFmtId="3" fontId="0" fillId="2" borderId="7" xfId="0" applyNumberFormat="1" applyFill="1" applyBorder="1" applyAlignment="1">
      <alignment vertical="center"/>
    </xf>
    <xf numFmtId="3" fontId="0" fillId="2" borderId="5" xfId="0" applyNumberFormat="1" applyFill="1" applyBorder="1" applyAlignment="1">
      <alignment vertical="center"/>
    </xf>
    <xf numFmtId="3" fontId="0" fillId="2" borderId="2" xfId="0" applyNumberFormat="1" applyFill="1" applyBorder="1" applyAlignment="1" applyProtection="1">
      <alignment vertical="center"/>
      <protection locked="0"/>
    </xf>
    <xf numFmtId="0" fontId="0" fillId="2" borderId="0" xfId="0" applyFill="1" applyAlignment="1">
      <alignment vertical="center"/>
    </xf>
    <xf numFmtId="3" fontId="0" fillId="2" borderId="6" xfId="0" applyNumberFormat="1" applyFill="1" applyBorder="1" applyAlignment="1">
      <alignment vertical="center"/>
    </xf>
    <xf numFmtId="3" fontId="0" fillId="2" borderId="2" xfId="0" applyNumberFormat="1" applyFill="1" applyBorder="1" applyAlignment="1">
      <alignment vertical="center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3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right" vertical="center"/>
    </xf>
    <xf numFmtId="0" fontId="0" fillId="0" borderId="0" xfId="0" applyAlignment="1">
      <alignment vertical="center"/>
    </xf>
    <xf numFmtId="167" fontId="13" fillId="2" borderId="0" xfId="0" applyNumberFormat="1" applyFont="1" applyFill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169" fontId="7" fillId="2" borderId="19" xfId="0" applyNumberFormat="1" applyFont="1" applyFill="1" applyBorder="1" applyAlignment="1">
      <alignment horizontal="center" vertical="center"/>
    </xf>
    <xf numFmtId="169" fontId="7" fillId="2" borderId="11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11" fillId="4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3" fontId="0" fillId="0" borderId="2" xfId="0" applyNumberFormat="1" applyBorder="1" applyAlignment="1" applyProtection="1">
      <alignment vertical="center"/>
      <protection locked="0"/>
    </xf>
    <xf numFmtId="0" fontId="0" fillId="2" borderId="7" xfId="0" applyFill="1" applyBorder="1" applyAlignment="1">
      <alignment vertical="center"/>
    </xf>
    <xf numFmtId="3" fontId="20" fillId="2" borderId="16" xfId="0" applyNumberFormat="1" applyFont="1" applyFill="1" applyBorder="1" applyAlignment="1">
      <alignment vertical="center"/>
    </xf>
    <xf numFmtId="3" fontId="0" fillId="0" borderId="2" xfId="0" applyNumberFormat="1" applyBorder="1" applyAlignment="1">
      <alignment vertical="center"/>
    </xf>
    <xf numFmtId="3" fontId="0" fillId="2" borderId="16" xfId="0" applyNumberFormat="1" applyFill="1" applyBorder="1" applyAlignment="1">
      <alignment vertical="center"/>
    </xf>
    <xf numFmtId="3" fontId="20" fillId="2" borderId="13" xfId="0" applyNumberFormat="1" applyFont="1" applyFill="1" applyBorder="1" applyAlignment="1">
      <alignment vertical="center"/>
    </xf>
    <xf numFmtId="3" fontId="0" fillId="2" borderId="12" xfId="0" applyNumberFormat="1" applyFill="1" applyBorder="1" applyAlignment="1">
      <alignment vertical="center"/>
    </xf>
    <xf numFmtId="3" fontId="0" fillId="2" borderId="14" xfId="0" applyNumberFormat="1" applyFill="1" applyBorder="1" applyAlignment="1">
      <alignment vertical="center"/>
    </xf>
    <xf numFmtId="3" fontId="0" fillId="2" borderId="13" xfId="0" applyNumberFormat="1" applyFill="1" applyBorder="1" applyAlignment="1">
      <alignment vertical="center"/>
    </xf>
    <xf numFmtId="3" fontId="20" fillId="2" borderId="4" xfId="0" applyNumberFormat="1" applyFont="1" applyFill="1" applyBorder="1" applyAlignment="1">
      <alignment vertical="center"/>
    </xf>
    <xf numFmtId="3" fontId="20" fillId="2" borderId="6" xfId="0" applyNumberFormat="1" applyFont="1" applyFill="1" applyBorder="1" applyAlignment="1">
      <alignment vertical="center"/>
    </xf>
    <xf numFmtId="3" fontId="0" fillId="2" borderId="4" xfId="0" applyNumberFormat="1" applyFill="1" applyBorder="1" applyAlignment="1">
      <alignment vertical="center"/>
    </xf>
    <xf numFmtId="169" fontId="16" fillId="2" borderId="0" xfId="0" applyNumberFormat="1" applyFont="1" applyFill="1" applyAlignment="1">
      <alignment horizontal="center" vertical="center"/>
    </xf>
    <xf numFmtId="3" fontId="11" fillId="4" borderId="2" xfId="0" applyNumberFormat="1" applyFont="1" applyFill="1" applyBorder="1" applyAlignment="1">
      <alignment horizontal="center" vertical="center"/>
    </xf>
    <xf numFmtId="0" fontId="4" fillId="0" borderId="0" xfId="0" applyFont="1"/>
    <xf numFmtId="0" fontId="5" fillId="2" borderId="36" xfId="0" applyFont="1" applyFill="1" applyBorder="1" applyAlignment="1">
      <alignment vertical="center"/>
    </xf>
    <xf numFmtId="0" fontId="4" fillId="2" borderId="37" xfId="0" applyFont="1" applyFill="1" applyBorder="1" applyAlignment="1">
      <alignment horizontal="center" vertical="center"/>
    </xf>
    <xf numFmtId="0" fontId="5" fillId="2" borderId="37" xfId="0" applyFont="1" applyFill="1" applyBorder="1" applyAlignment="1" applyProtection="1">
      <alignment vertical="center"/>
      <protection locked="0"/>
    </xf>
    <xf numFmtId="0" fontId="4" fillId="2" borderId="37" xfId="0" applyFont="1" applyFill="1" applyBorder="1" applyAlignment="1">
      <alignment vertical="center"/>
    </xf>
    <xf numFmtId="0" fontId="5" fillId="2" borderId="38" xfId="0" applyFont="1" applyFill="1" applyBorder="1" applyAlignment="1">
      <alignment vertical="center"/>
    </xf>
    <xf numFmtId="0" fontId="6" fillId="2" borderId="38" xfId="0" applyFont="1" applyFill="1" applyBorder="1" applyAlignment="1">
      <alignment vertical="center"/>
    </xf>
    <xf numFmtId="3" fontId="7" fillId="2" borderId="38" xfId="0" applyNumberFormat="1" applyFont="1" applyFill="1" applyBorder="1" applyAlignment="1">
      <alignment vertical="center"/>
    </xf>
    <xf numFmtId="3" fontId="5" fillId="2" borderId="38" xfId="0" applyNumberFormat="1" applyFont="1" applyFill="1" applyBorder="1" applyAlignment="1">
      <alignment vertical="center"/>
    </xf>
    <xf numFmtId="3" fontId="3" fillId="2" borderId="38" xfId="0" applyNumberFormat="1" applyFont="1" applyFill="1" applyBorder="1" applyAlignment="1">
      <alignment vertical="center"/>
    </xf>
    <xf numFmtId="167" fontId="13" fillId="2" borderId="38" xfId="0" applyNumberFormat="1" applyFont="1" applyFill="1" applyBorder="1" applyAlignment="1" applyProtection="1">
      <alignment horizontal="center" vertical="center"/>
      <protection locked="0"/>
    </xf>
    <xf numFmtId="0" fontId="3" fillId="2" borderId="38" xfId="0" applyFont="1" applyFill="1" applyBorder="1" applyAlignment="1">
      <alignment vertical="center"/>
    </xf>
    <xf numFmtId="0" fontId="0" fillId="2" borderId="38" xfId="0" applyFill="1" applyBorder="1" applyAlignment="1">
      <alignment vertical="center"/>
    </xf>
    <xf numFmtId="3" fontId="0" fillId="2" borderId="38" xfId="0" applyNumberFormat="1" applyFill="1" applyBorder="1" applyAlignment="1">
      <alignment vertical="center"/>
    </xf>
    <xf numFmtId="3" fontId="20" fillId="2" borderId="38" xfId="0" applyNumberFormat="1" applyFont="1" applyFill="1" applyBorder="1" applyAlignment="1">
      <alignment vertical="center"/>
    </xf>
    <xf numFmtId="0" fontId="5" fillId="2" borderId="40" xfId="0" applyFont="1" applyFill="1" applyBorder="1" applyAlignment="1">
      <alignment vertical="center"/>
    </xf>
    <xf numFmtId="0" fontId="4" fillId="2" borderId="41" xfId="0" applyFont="1" applyFill="1" applyBorder="1" applyAlignment="1">
      <alignment horizontal="center" vertical="center"/>
    </xf>
    <xf numFmtId="0" fontId="5" fillId="2" borderId="41" xfId="0" applyFont="1" applyFill="1" applyBorder="1" applyAlignment="1" applyProtection="1">
      <alignment vertical="center"/>
      <protection locked="0"/>
    </xf>
    <xf numFmtId="0" fontId="4" fillId="2" borderId="41" xfId="0" applyFont="1" applyFill="1" applyBorder="1" applyAlignment="1">
      <alignment vertical="center"/>
    </xf>
    <xf numFmtId="0" fontId="5" fillId="2" borderId="41" xfId="0" applyFont="1" applyFill="1" applyBorder="1" applyAlignment="1" applyProtection="1">
      <alignment horizontal="left" vertical="center"/>
      <protection hidden="1"/>
    </xf>
    <xf numFmtId="0" fontId="4" fillId="4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4" borderId="3" xfId="0" applyFill="1" applyBorder="1" applyAlignment="1">
      <alignment horizontal="right" vertical="center"/>
    </xf>
    <xf numFmtId="3" fontId="0" fillId="2" borderId="3" xfId="0" applyNumberForma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3" fontId="5" fillId="2" borderId="1" xfId="0" applyNumberFormat="1" applyFont="1" applyFill="1" applyBorder="1" applyAlignment="1">
      <alignment vertical="center"/>
    </xf>
    <xf numFmtId="3" fontId="5" fillId="2" borderId="3" xfId="0" applyNumberFormat="1" applyFont="1" applyFill="1" applyBorder="1" applyAlignment="1">
      <alignment vertical="center"/>
    </xf>
    <xf numFmtId="3" fontId="5" fillId="2" borderId="2" xfId="0" applyNumberFormat="1" applyFont="1" applyFill="1" applyBorder="1" applyAlignment="1">
      <alignment vertical="center"/>
    </xf>
    <xf numFmtId="3" fontId="5" fillId="2" borderId="7" xfId="0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4" fillId="2" borderId="14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9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0" fontId="4" fillId="4" borderId="9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>
      <alignment horizontal="left" vertical="center"/>
    </xf>
    <xf numFmtId="0" fontId="22" fillId="2" borderId="0" xfId="0" applyFont="1" applyFill="1" applyAlignment="1">
      <alignment horizontal="center" vertical="center"/>
    </xf>
    <xf numFmtId="0" fontId="5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3" fillId="5" borderId="0" xfId="0" applyFont="1" applyFill="1" applyAlignment="1">
      <alignment vertical="center"/>
    </xf>
    <xf numFmtId="0" fontId="0" fillId="5" borderId="0" xfId="0" applyFill="1" applyAlignment="1">
      <alignment vertical="center"/>
    </xf>
    <xf numFmtId="0" fontId="20" fillId="5" borderId="0" xfId="0" applyFont="1" applyFill="1" applyAlignment="1">
      <alignment vertical="center"/>
    </xf>
    <xf numFmtId="0" fontId="4" fillId="5" borderId="0" xfId="0" applyFont="1" applyFill="1" applyAlignment="1">
      <alignment horizontal="center" vertical="center"/>
    </xf>
    <xf numFmtId="0" fontId="5" fillId="5" borderId="0" xfId="0" applyFont="1" applyFill="1" applyAlignment="1" applyProtection="1">
      <alignment vertical="center"/>
      <protection locked="0"/>
    </xf>
    <xf numFmtId="0" fontId="4" fillId="5" borderId="0" xfId="0" applyFont="1" applyFill="1" applyAlignment="1">
      <alignment vertical="center"/>
    </xf>
    <xf numFmtId="3" fontId="3" fillId="4" borderId="0" xfId="0" applyNumberFormat="1" applyFont="1" applyFill="1" applyAlignment="1" applyProtection="1">
      <alignment horizontal="right" vertical="center"/>
      <protection hidden="1"/>
    </xf>
    <xf numFmtId="3" fontId="5" fillId="0" borderId="0" xfId="0" applyNumberFormat="1" applyFont="1" applyAlignment="1">
      <alignment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vertical="center"/>
    </xf>
    <xf numFmtId="167" fontId="15" fillId="7" borderId="22" xfId="0" applyNumberFormat="1" applyFont="1" applyFill="1" applyBorder="1" applyAlignment="1" applyProtection="1">
      <alignment horizontal="center" vertical="center"/>
      <protection locked="0"/>
    </xf>
    <xf numFmtId="0" fontId="3" fillId="7" borderId="2" xfId="0" applyFont="1" applyFill="1" applyBorder="1" applyAlignment="1" applyProtection="1">
      <alignment horizontal="left" vertical="center"/>
      <protection locked="0"/>
    </xf>
    <xf numFmtId="4" fontId="6" fillId="5" borderId="23" xfId="0" applyNumberFormat="1" applyFont="1" applyFill="1" applyBorder="1" applyAlignment="1" applyProtection="1">
      <alignment horizontal="center" vertical="center"/>
      <protection hidden="1"/>
    </xf>
    <xf numFmtId="4" fontId="6" fillId="5" borderId="24" xfId="0" applyNumberFormat="1" applyFont="1" applyFill="1" applyBorder="1" applyAlignment="1" applyProtection="1">
      <alignment horizontal="center" vertical="center"/>
      <protection hidden="1"/>
    </xf>
    <xf numFmtId="166" fontId="15" fillId="5" borderId="27" xfId="1" applyFont="1" applyFill="1" applyBorder="1" applyAlignment="1" applyProtection="1">
      <alignment horizontal="center" vertical="center"/>
      <protection locked="0"/>
    </xf>
    <xf numFmtId="166" fontId="15" fillId="5" borderId="28" xfId="1" applyFont="1" applyFill="1" applyBorder="1" applyAlignment="1" applyProtection="1">
      <alignment horizontal="center" vertical="center"/>
      <protection locked="0"/>
    </xf>
    <xf numFmtId="4" fontId="3" fillId="5" borderId="2" xfId="0" applyNumberFormat="1" applyFont="1" applyFill="1" applyBorder="1" applyAlignment="1" applyProtection="1">
      <alignment horizontal="center" vertical="center"/>
      <protection hidden="1"/>
    </xf>
    <xf numFmtId="3" fontId="3" fillId="5" borderId="30" xfId="0" applyNumberFormat="1" applyFont="1" applyFill="1" applyBorder="1" applyAlignment="1" applyProtection="1">
      <alignment horizontal="right" vertical="center"/>
      <protection hidden="1"/>
    </xf>
    <xf numFmtId="0" fontId="3" fillId="9" borderId="2" xfId="0" applyFont="1" applyFill="1" applyBorder="1" applyAlignment="1">
      <alignment horizontal="center" vertical="center"/>
    </xf>
    <xf numFmtId="3" fontId="11" fillId="10" borderId="0" xfId="0" applyNumberFormat="1" applyFont="1" applyFill="1" applyAlignment="1" applyProtection="1">
      <alignment horizontal="center" vertical="center"/>
      <protection locked="0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3" fontId="11" fillId="4" borderId="0" xfId="0" applyNumberFormat="1" applyFont="1" applyFill="1" applyAlignment="1">
      <alignment horizontal="center" vertical="center"/>
    </xf>
    <xf numFmtId="0" fontId="4" fillId="2" borderId="0" xfId="0" applyFont="1" applyFill="1" applyAlignment="1" applyProtection="1">
      <alignment horizontal="left" vertical="center"/>
      <protection locked="0"/>
    </xf>
    <xf numFmtId="3" fontId="3" fillId="5" borderId="3" xfId="0" applyNumberFormat="1" applyFont="1" applyFill="1" applyBorder="1" applyAlignment="1" applyProtection="1">
      <alignment horizontal="right" vertical="center"/>
      <protection hidden="1"/>
    </xf>
    <xf numFmtId="3" fontId="0" fillId="2" borderId="0" xfId="0" applyNumberFormat="1" applyFill="1" applyAlignment="1">
      <alignment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3" fontId="5" fillId="2" borderId="9" xfId="0" applyNumberFormat="1" applyFont="1" applyFill="1" applyBorder="1" applyAlignment="1">
      <alignment vertical="center"/>
    </xf>
    <xf numFmtId="3" fontId="0" fillId="2" borderId="9" xfId="0" applyNumberFormat="1" applyFill="1" applyBorder="1" applyAlignment="1">
      <alignment vertical="center"/>
    </xf>
    <xf numFmtId="0" fontId="0" fillId="2" borderId="2" xfId="0" applyFill="1" applyBorder="1" applyAlignment="1" applyProtection="1">
      <alignment horizontal="right" vertical="center"/>
      <protection locked="0"/>
    </xf>
    <xf numFmtId="3" fontId="3" fillId="0" borderId="15" xfId="0" applyNumberFormat="1" applyFont="1" applyBorder="1" applyAlignment="1" applyProtection="1">
      <alignment horizontal="right" vertical="center"/>
      <protection hidden="1"/>
    </xf>
    <xf numFmtId="3" fontId="3" fillId="5" borderId="2" xfId="0" applyNumberFormat="1" applyFont="1" applyFill="1" applyBorder="1" applyAlignment="1" applyProtection="1">
      <alignment horizontal="right" vertical="center"/>
      <protection hidden="1"/>
    </xf>
    <xf numFmtId="0" fontId="21" fillId="0" borderId="0" xfId="0" applyFont="1" applyAlignment="1">
      <alignment vertical="center"/>
    </xf>
    <xf numFmtId="3" fontId="3" fillId="0" borderId="0" xfId="0" applyNumberFormat="1" applyFont="1" applyAlignment="1" applyProtection="1">
      <alignment horizontal="right" vertical="center"/>
      <protection hidden="1"/>
    </xf>
    <xf numFmtId="0" fontId="11" fillId="4" borderId="9" xfId="0" applyFont="1" applyFill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0" fontId="11" fillId="0" borderId="11" xfId="0" applyFont="1" applyBorder="1" applyAlignment="1">
      <alignment horizontal="center" vertical="center"/>
    </xf>
    <xf numFmtId="0" fontId="5" fillId="5" borderId="39" xfId="0" applyFont="1" applyFill="1" applyBorder="1" applyAlignment="1">
      <alignment vertical="center"/>
    </xf>
    <xf numFmtId="3" fontId="3" fillId="4" borderId="0" xfId="0" applyNumberFormat="1" applyFont="1" applyFill="1" applyAlignment="1">
      <alignment vertical="center"/>
    </xf>
    <xf numFmtId="0" fontId="11" fillId="4" borderId="15" xfId="0" applyFont="1" applyFill="1" applyBorder="1" applyAlignment="1">
      <alignment horizontal="center" vertical="center"/>
    </xf>
    <xf numFmtId="0" fontId="21" fillId="4" borderId="0" xfId="0" applyFont="1" applyFill="1" applyAlignment="1">
      <alignment vertical="center"/>
    </xf>
    <xf numFmtId="3" fontId="3" fillId="4" borderId="10" xfId="0" applyNumberFormat="1" applyFont="1" applyFill="1" applyBorder="1" applyAlignment="1" applyProtection="1">
      <alignment horizontal="right" vertical="center"/>
      <protection hidden="1"/>
    </xf>
    <xf numFmtId="0" fontId="5" fillId="4" borderId="15" xfId="0" applyFont="1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14" fillId="11" borderId="9" xfId="0" applyFont="1" applyFill="1" applyBorder="1" applyAlignment="1" applyProtection="1">
      <alignment horizontal="left" vertical="center"/>
      <protection locked="0"/>
    </xf>
    <xf numFmtId="3" fontId="11" fillId="4" borderId="10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left" vertical="center"/>
      <protection locked="0"/>
    </xf>
    <xf numFmtId="0" fontId="3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vertical="center"/>
    </xf>
    <xf numFmtId="3" fontId="3" fillId="4" borderId="15" xfId="0" applyNumberFormat="1" applyFont="1" applyFill="1" applyBorder="1" applyAlignment="1" applyProtection="1">
      <alignment horizontal="right" vertical="center"/>
      <protection hidden="1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0" fontId="4" fillId="4" borderId="13" xfId="0" applyFont="1" applyFill="1" applyBorder="1" applyAlignment="1" applyProtection="1">
      <alignment horizontal="left" vertical="center"/>
      <protection locked="0"/>
    </xf>
    <xf numFmtId="0" fontId="4" fillId="4" borderId="13" xfId="0" applyFont="1" applyFill="1" applyBorder="1" applyAlignment="1">
      <alignment horizontal="left" vertical="center"/>
    </xf>
    <xf numFmtId="3" fontId="5" fillId="4" borderId="7" xfId="0" applyNumberFormat="1" applyFont="1" applyFill="1" applyBorder="1" applyAlignment="1">
      <alignment vertical="center"/>
    </xf>
    <xf numFmtId="3" fontId="5" fillId="4" borderId="1" xfId="0" applyNumberFormat="1" applyFont="1" applyFill="1" applyBorder="1" applyAlignment="1">
      <alignment vertical="center"/>
    </xf>
    <xf numFmtId="3" fontId="5" fillId="4" borderId="3" xfId="0" applyNumberFormat="1" applyFont="1" applyFill="1" applyBorder="1" applyAlignment="1">
      <alignment vertical="center"/>
    </xf>
    <xf numFmtId="3" fontId="5" fillId="4" borderId="2" xfId="0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vertical="center"/>
    </xf>
    <xf numFmtId="0" fontId="23" fillId="0" borderId="0" xfId="2"/>
    <xf numFmtId="3" fontId="7" fillId="5" borderId="0" xfId="0" applyNumberFormat="1" applyFont="1" applyFill="1" applyAlignment="1" applyProtection="1">
      <alignment horizontal="right" vertical="center"/>
      <protection hidden="1"/>
    </xf>
    <xf numFmtId="169" fontId="7" fillId="2" borderId="0" xfId="0" applyNumberFormat="1" applyFont="1" applyFill="1" applyAlignment="1">
      <alignment horizontal="center" vertical="center"/>
    </xf>
    <xf numFmtId="3" fontId="7" fillId="4" borderId="0" xfId="0" applyNumberFormat="1" applyFont="1" applyFill="1" applyAlignment="1" applyProtection="1">
      <alignment horizontal="right" vertical="center"/>
      <protection hidden="1"/>
    </xf>
    <xf numFmtId="168" fontId="7" fillId="5" borderId="0" xfId="0" applyNumberFormat="1" applyFont="1" applyFill="1" applyAlignment="1" applyProtection="1">
      <alignment horizontal="right" vertical="center"/>
      <protection hidden="1"/>
    </xf>
    <xf numFmtId="0" fontId="24" fillId="2" borderId="9" xfId="0" applyFont="1" applyFill="1" applyBorder="1" applyAlignment="1" applyProtection="1">
      <alignment horizontal="left" vertical="center"/>
      <protection locked="0"/>
    </xf>
    <xf numFmtId="0" fontId="25" fillId="2" borderId="1" xfId="0" applyFont="1" applyFill="1" applyBorder="1" applyAlignment="1">
      <alignment horizontal="right" vertical="center"/>
    </xf>
    <xf numFmtId="0" fontId="26" fillId="2" borderId="0" xfId="0" applyFont="1" applyFill="1" applyAlignment="1">
      <alignment vertical="center"/>
    </xf>
    <xf numFmtId="0" fontId="27" fillId="7" borderId="2" xfId="0" applyFont="1" applyFill="1" applyBorder="1" applyAlignment="1" applyProtection="1">
      <alignment horizontal="left" vertical="center"/>
      <protection locked="0"/>
    </xf>
    <xf numFmtId="0" fontId="24" fillId="2" borderId="13" xfId="0" applyFont="1" applyFill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27" fillId="7" borderId="4" xfId="0" applyFont="1" applyFill="1" applyBorder="1" applyAlignment="1">
      <alignment vertical="center"/>
    </xf>
    <xf numFmtId="0" fontId="25" fillId="2" borderId="1" xfId="0" applyFont="1" applyFill="1" applyBorder="1" applyAlignment="1" applyProtection="1">
      <alignment horizontal="right" vertical="center"/>
      <protection locked="0"/>
    </xf>
    <xf numFmtId="0" fontId="25" fillId="2" borderId="3" xfId="0" applyFont="1" applyFill="1" applyBorder="1" applyAlignment="1" applyProtection="1">
      <alignment horizontal="right" vertical="center"/>
      <protection locked="0"/>
    </xf>
    <xf numFmtId="0" fontId="24" fillId="0" borderId="4" xfId="0" applyFont="1" applyBorder="1" applyAlignment="1" applyProtection="1">
      <alignment horizontal="left" vertical="center"/>
      <protection locked="0"/>
    </xf>
    <xf numFmtId="0" fontId="24" fillId="2" borderId="4" xfId="0" applyFont="1" applyFill="1" applyBorder="1" applyAlignment="1" applyProtection="1">
      <alignment horizontal="left" vertical="center"/>
      <protection locked="0"/>
    </xf>
    <xf numFmtId="0" fontId="25" fillId="4" borderId="1" xfId="0" applyFont="1" applyFill="1" applyBorder="1" applyAlignment="1" applyProtection="1">
      <alignment horizontal="right" vertical="center"/>
      <protection locked="0"/>
    </xf>
    <xf numFmtId="0" fontId="25" fillId="2" borderId="42" xfId="0" applyFont="1" applyFill="1" applyBorder="1" applyAlignment="1" applyProtection="1">
      <alignment horizontal="left" vertical="center"/>
      <protection locked="0"/>
    </xf>
    <xf numFmtId="0" fontId="25" fillId="4" borderId="1" xfId="0" applyFont="1" applyFill="1" applyBorder="1" applyAlignment="1">
      <alignment horizontal="left" vertical="center"/>
    </xf>
    <xf numFmtId="0" fontId="25" fillId="4" borderId="3" xfId="0" applyFont="1" applyFill="1" applyBorder="1" applyAlignment="1">
      <alignment horizontal="left" vertical="center"/>
    </xf>
    <xf numFmtId="0" fontId="25" fillId="2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27" fillId="0" borderId="2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right" vertical="center"/>
      <protection locked="0"/>
    </xf>
    <xf numFmtId="3" fontId="0" fillId="0" borderId="42" xfId="0" applyNumberFormat="1" applyBorder="1" applyAlignment="1">
      <alignment vertical="center"/>
    </xf>
    <xf numFmtId="0" fontId="28" fillId="11" borderId="9" xfId="0" applyFont="1" applyFill="1" applyBorder="1" applyAlignment="1" applyProtection="1">
      <alignment horizontal="left" vertical="center"/>
      <protection locked="0"/>
    </xf>
    <xf numFmtId="3" fontId="3" fillId="0" borderId="38" xfId="0" applyNumberFormat="1" applyFont="1" applyBorder="1" applyAlignment="1">
      <alignment vertical="center"/>
    </xf>
    <xf numFmtId="3" fontId="11" fillId="0" borderId="42" xfId="0" applyNumberFormat="1" applyFont="1" applyBorder="1" applyAlignment="1">
      <alignment horizontal="center" vertical="center"/>
    </xf>
    <xf numFmtId="0" fontId="24" fillId="4" borderId="2" xfId="0" applyFont="1" applyFill="1" applyBorder="1" applyAlignment="1" applyProtection="1">
      <alignment horizontal="left" vertical="center"/>
      <protection locked="0"/>
    </xf>
    <xf numFmtId="4" fontId="6" fillId="4" borderId="0" xfId="0" applyNumberFormat="1" applyFont="1" applyFill="1" applyAlignment="1" applyProtection="1">
      <alignment horizontal="center" vertical="center"/>
      <protection hidden="1"/>
    </xf>
    <xf numFmtId="0" fontId="24" fillId="4" borderId="9" xfId="0" applyFont="1" applyFill="1" applyBorder="1" applyAlignment="1" applyProtection="1">
      <alignment horizontal="left" vertical="center"/>
      <protection locked="0"/>
    </xf>
    <xf numFmtId="0" fontId="24" fillId="4" borderId="13" xfId="0" applyFont="1" applyFill="1" applyBorder="1" applyAlignment="1" applyProtection="1">
      <alignment horizontal="left" vertical="center"/>
      <protection locked="0"/>
    </xf>
    <xf numFmtId="0" fontId="25" fillId="4" borderId="3" xfId="0" applyFont="1" applyFill="1" applyBorder="1" applyAlignment="1" applyProtection="1">
      <alignment horizontal="left" vertical="center"/>
      <protection locked="0"/>
    </xf>
    <xf numFmtId="3" fontId="7" fillId="5" borderId="6" xfId="0" applyNumberFormat="1" applyFont="1" applyFill="1" applyBorder="1" applyAlignment="1" applyProtection="1">
      <alignment horizontal="center" vertical="center"/>
      <protection hidden="1"/>
    </xf>
    <xf numFmtId="3" fontId="7" fillId="5" borderId="21" xfId="0" applyNumberFormat="1" applyFont="1" applyFill="1" applyBorder="1" applyAlignment="1" applyProtection="1">
      <alignment horizontal="center" vertical="center"/>
      <protection hidden="1"/>
    </xf>
    <xf numFmtId="3" fontId="7" fillId="4" borderId="10" xfId="0" applyNumberFormat="1" applyFont="1" applyFill="1" applyBorder="1" applyAlignment="1" applyProtection="1">
      <alignment horizontal="center" vertical="center"/>
      <protection hidden="1"/>
    </xf>
    <xf numFmtId="3" fontId="3" fillId="5" borderId="25" xfId="0" applyNumberFormat="1" applyFont="1" applyFill="1" applyBorder="1" applyAlignment="1" applyProtection="1">
      <alignment horizontal="center" vertical="center"/>
      <protection hidden="1"/>
    </xf>
    <xf numFmtId="3" fontId="3" fillId="5" borderId="24" xfId="0" applyNumberFormat="1" applyFont="1" applyFill="1" applyBorder="1" applyAlignment="1" applyProtection="1">
      <alignment horizontal="center" vertical="center"/>
      <protection hidden="1"/>
    </xf>
    <xf numFmtId="3" fontId="3" fillId="4" borderId="0" xfId="0" applyNumberFormat="1" applyFont="1" applyFill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left" vertical="center"/>
    </xf>
    <xf numFmtId="0" fontId="14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right" vertical="center"/>
      <protection locked="0"/>
    </xf>
    <xf numFmtId="0" fontId="32" fillId="4" borderId="4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>
      <alignment horizontal="right" vertical="center"/>
    </xf>
    <xf numFmtId="0" fontId="5" fillId="2" borderId="0" xfId="0" applyFont="1" applyFill="1" applyAlignment="1" applyProtection="1">
      <alignment horizontal="left" vertical="center"/>
      <protection hidden="1"/>
    </xf>
    <xf numFmtId="0" fontId="34" fillId="14" borderId="43" xfId="10" applyFont="1" applyFill="1" applyBorder="1" applyAlignment="1">
      <alignment horizontal="center" vertical="center" wrapText="1"/>
    </xf>
    <xf numFmtId="171" fontId="35" fillId="15" borderId="43" xfId="11" applyNumberFormat="1" applyFont="1" applyFill="1" applyBorder="1" applyAlignment="1">
      <alignment horizontal="left" vertical="center"/>
    </xf>
    <xf numFmtId="9" fontId="36" fillId="16" borderId="42" xfId="10" applyNumberFormat="1" applyFont="1" applyFill="1" applyBorder="1" applyAlignment="1">
      <alignment horizontal="center" vertical="center"/>
    </xf>
    <xf numFmtId="0" fontId="36" fillId="14" borderId="42" xfId="10" applyFont="1" applyFill="1" applyBorder="1" applyAlignment="1">
      <alignment horizontal="center" vertical="center"/>
    </xf>
    <xf numFmtId="171" fontId="35" fillId="15" borderId="42" xfId="11" applyNumberFormat="1" applyFont="1" applyFill="1" applyBorder="1" applyAlignment="1">
      <alignment horizontal="left" vertical="center"/>
    </xf>
    <xf numFmtId="0" fontId="37" fillId="0" borderId="42" xfId="10" applyFont="1" applyBorder="1" applyAlignment="1">
      <alignment horizontal="center" vertical="center"/>
    </xf>
    <xf numFmtId="172" fontId="37" fillId="17" borderId="42" xfId="11" applyNumberFormat="1" applyFont="1" applyFill="1" applyBorder="1" applyAlignment="1">
      <alignment horizontal="center" vertical="center"/>
    </xf>
    <xf numFmtId="171" fontId="37" fillId="5" borderId="4" xfId="11" applyNumberFormat="1" applyFont="1" applyFill="1" applyBorder="1" applyAlignment="1">
      <alignment horizontal="left" vertical="center" wrapText="1"/>
    </xf>
    <xf numFmtId="171" fontId="37" fillId="5" borderId="10" xfId="11" applyNumberFormat="1" applyFont="1" applyFill="1" applyBorder="1" applyAlignment="1">
      <alignment horizontal="left" vertical="center" wrapText="1"/>
    </xf>
    <xf numFmtId="171" fontId="37" fillId="5" borderId="4" xfId="11" applyNumberFormat="1" applyFont="1" applyFill="1" applyBorder="1" applyAlignment="1">
      <alignment horizontal="left" vertical="center"/>
    </xf>
    <xf numFmtId="171" fontId="37" fillId="5" borderId="10" xfId="11" applyNumberFormat="1" applyFont="1" applyFill="1" applyBorder="1" applyAlignment="1">
      <alignment horizontal="center" vertical="center" wrapText="1"/>
    </xf>
    <xf numFmtId="171" fontId="37" fillId="5" borderId="10" xfId="11" applyNumberFormat="1" applyFont="1" applyFill="1" applyBorder="1" applyAlignment="1">
      <alignment horizontal="left" vertical="center"/>
    </xf>
    <xf numFmtId="171" fontId="37" fillId="5" borderId="10" xfId="11" applyNumberFormat="1" applyFont="1" applyFill="1" applyBorder="1" applyAlignment="1">
      <alignment horizontal="center" vertical="center"/>
    </xf>
    <xf numFmtId="173" fontId="7" fillId="0" borderId="0" xfId="0" applyNumberFormat="1" applyFont="1" applyAlignment="1">
      <alignment vertical="center"/>
    </xf>
    <xf numFmtId="9" fontId="4" fillId="6" borderId="44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Alignment="1">
      <alignment vertical="center"/>
    </xf>
    <xf numFmtId="0" fontId="2" fillId="6" borderId="46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175" fontId="0" fillId="0" borderId="44" xfId="12" applyNumberFormat="1" applyFont="1" applyBorder="1"/>
    <xf numFmtId="175" fontId="5" fillId="5" borderId="0" xfId="12" applyNumberFormat="1" applyFont="1" applyFill="1" applyBorder="1" applyAlignment="1" applyProtection="1">
      <alignment vertical="center"/>
      <protection locked="0"/>
    </xf>
    <xf numFmtId="175" fontId="5" fillId="2" borderId="37" xfId="12" applyNumberFormat="1" applyFont="1" applyFill="1" applyBorder="1" applyAlignment="1" applyProtection="1">
      <alignment vertical="center"/>
      <protection locked="0"/>
    </xf>
    <xf numFmtId="175" fontId="15" fillId="5" borderId="28" xfId="12" applyNumberFormat="1" applyFont="1" applyFill="1" applyBorder="1" applyAlignment="1" applyProtection="1">
      <alignment horizontal="center" vertical="center"/>
      <protection locked="0"/>
    </xf>
    <xf numFmtId="175" fontId="6" fillId="8" borderId="22" xfId="12" applyNumberFormat="1" applyFont="1" applyFill="1" applyBorder="1" applyAlignment="1" applyProtection="1">
      <alignment horizontal="center" vertical="center"/>
      <protection hidden="1"/>
    </xf>
    <xf numFmtId="175" fontId="5" fillId="2" borderId="0" xfId="12" applyNumberFormat="1" applyFont="1" applyFill="1" applyBorder="1" applyAlignment="1" applyProtection="1">
      <alignment vertical="center"/>
      <protection hidden="1"/>
    </xf>
    <xf numFmtId="175" fontId="6" fillId="2" borderId="0" xfId="12" applyNumberFormat="1" applyFont="1" applyFill="1" applyBorder="1" applyAlignment="1">
      <alignment horizontal="center" vertical="center"/>
    </xf>
    <xf numFmtId="175" fontId="7" fillId="7" borderId="10" xfId="12" applyNumberFormat="1" applyFont="1" applyFill="1" applyBorder="1" applyAlignment="1" applyProtection="1">
      <alignment vertical="center"/>
      <protection hidden="1"/>
    </xf>
    <xf numFmtId="175" fontId="3" fillId="8" borderId="26" xfId="12" applyNumberFormat="1" applyFont="1" applyFill="1" applyBorder="1" applyAlignment="1" applyProtection="1">
      <alignment horizontal="center" vertical="center"/>
      <protection hidden="1"/>
    </xf>
    <xf numFmtId="175" fontId="5" fillId="2" borderId="8" xfId="12" applyNumberFormat="1" applyFont="1" applyFill="1" applyBorder="1" applyAlignment="1" applyProtection="1">
      <alignment vertical="center"/>
      <protection hidden="1"/>
    </xf>
    <xf numFmtId="175" fontId="3" fillId="2" borderId="19" xfId="12" applyNumberFormat="1" applyFont="1" applyFill="1" applyBorder="1" applyAlignment="1">
      <alignment horizontal="center" vertical="center"/>
    </xf>
    <xf numFmtId="175" fontId="7" fillId="4" borderId="10" xfId="12" applyNumberFormat="1" applyFont="1" applyFill="1" applyBorder="1" applyAlignment="1" applyProtection="1">
      <alignment vertical="center"/>
      <protection hidden="1"/>
    </xf>
    <xf numFmtId="175" fontId="3" fillId="4" borderId="10" xfId="12" applyNumberFormat="1" applyFont="1" applyFill="1" applyBorder="1" applyAlignment="1" applyProtection="1">
      <alignment horizontal="center" vertical="center"/>
      <protection hidden="1"/>
    </xf>
    <xf numFmtId="175" fontId="3" fillId="2" borderId="11" xfId="12" applyNumberFormat="1" applyFont="1" applyFill="1" applyBorder="1" applyAlignment="1">
      <alignment horizontal="center" vertical="center"/>
    </xf>
    <xf numFmtId="175" fontId="3" fillId="8" borderId="22" xfId="12" applyNumberFormat="1" applyFont="1" applyFill="1" applyBorder="1" applyAlignment="1" applyProtection="1">
      <alignment horizontal="center" vertical="center"/>
      <protection hidden="1"/>
    </xf>
    <xf numFmtId="175" fontId="3" fillId="4" borderId="0" xfId="12" applyNumberFormat="1" applyFont="1" applyFill="1" applyAlignment="1" applyProtection="1">
      <alignment horizontal="center" vertical="center"/>
      <protection locked="0"/>
    </xf>
    <xf numFmtId="175" fontId="3" fillId="4" borderId="0" xfId="12" applyNumberFormat="1" applyFont="1" applyFill="1" applyAlignment="1" applyProtection="1">
      <alignment horizontal="right" vertical="center"/>
      <protection hidden="1"/>
    </xf>
    <xf numFmtId="175" fontId="33" fillId="13" borderId="22" xfId="12" applyNumberFormat="1" applyFont="1" applyFill="1" applyBorder="1" applyAlignment="1" applyProtection="1">
      <alignment horizontal="right" vertical="center"/>
      <protection hidden="1"/>
    </xf>
    <xf numFmtId="175" fontId="3" fillId="4" borderId="0" xfId="12" applyNumberFormat="1" applyFont="1" applyFill="1" applyBorder="1" applyAlignment="1" applyProtection="1">
      <alignment horizontal="center" vertical="center"/>
      <protection locked="0"/>
    </xf>
    <xf numFmtId="175" fontId="0" fillId="4" borderId="0" xfId="12" applyNumberFormat="1" applyFont="1" applyFill="1"/>
    <xf numFmtId="175" fontId="5" fillId="2" borderId="0" xfId="12" applyNumberFormat="1" applyFont="1" applyFill="1" applyBorder="1" applyAlignment="1" applyProtection="1">
      <alignment vertical="center"/>
      <protection locked="0"/>
    </xf>
    <xf numFmtId="175" fontId="4" fillId="2" borderId="0" xfId="12" applyNumberFormat="1" applyFont="1" applyFill="1" applyBorder="1" applyAlignment="1" applyProtection="1">
      <alignment vertical="center"/>
      <protection locked="0"/>
    </xf>
    <xf numFmtId="175" fontId="3" fillId="5" borderId="2" xfId="12" applyNumberFormat="1" applyFont="1" applyFill="1" applyBorder="1" applyAlignment="1" applyProtection="1">
      <alignment horizontal="center" vertical="center"/>
      <protection hidden="1"/>
    </xf>
    <xf numFmtId="175" fontId="3" fillId="8" borderId="2" xfId="12" applyNumberFormat="1" applyFont="1" applyFill="1" applyBorder="1" applyAlignment="1" applyProtection="1">
      <alignment horizontal="center" vertical="center"/>
      <protection hidden="1"/>
    </xf>
    <xf numFmtId="175" fontId="5" fillId="2" borderId="3" xfId="12" applyNumberFormat="1" applyFont="1" applyFill="1" applyBorder="1" applyAlignment="1" applyProtection="1">
      <alignment vertical="center"/>
      <protection locked="0"/>
    </xf>
    <xf numFmtId="175" fontId="5" fillId="2" borderId="2" xfId="12" applyNumberFormat="1" applyFont="1" applyFill="1" applyBorder="1" applyAlignment="1" applyProtection="1">
      <alignment vertical="center"/>
      <protection locked="0"/>
    </xf>
    <xf numFmtId="175" fontId="5" fillId="2" borderId="2" xfId="12" quotePrefix="1" applyNumberFormat="1" applyFont="1" applyFill="1" applyBorder="1" applyAlignment="1" applyProtection="1">
      <alignment horizontal="right" vertical="center"/>
      <protection locked="0"/>
    </xf>
    <xf numFmtId="175" fontId="5" fillId="2" borderId="2" xfId="12" applyNumberFormat="1" applyFont="1" applyFill="1" applyBorder="1" applyAlignment="1" applyProtection="1">
      <alignment horizontal="right" vertical="center"/>
      <protection locked="0"/>
    </xf>
    <xf numFmtId="175" fontId="3" fillId="8" borderId="30" xfId="12" applyNumberFormat="1" applyFont="1" applyFill="1" applyBorder="1" applyAlignment="1" applyProtection="1">
      <alignment horizontal="right" vertical="center"/>
      <protection hidden="1"/>
    </xf>
    <xf numFmtId="175" fontId="12" fillId="2" borderId="2" xfId="12" applyNumberFormat="1" applyFont="1" applyFill="1" applyBorder="1" applyAlignment="1" applyProtection="1">
      <alignment vertical="center"/>
      <protection locked="0"/>
    </xf>
    <xf numFmtId="175" fontId="0" fillId="2" borderId="0" xfId="12" applyNumberFormat="1" applyFont="1" applyFill="1" applyBorder="1" applyAlignment="1" applyProtection="1">
      <alignment horizontal="right" vertical="center"/>
      <protection locked="0"/>
    </xf>
    <xf numFmtId="175" fontId="0" fillId="2" borderId="0" xfId="12" applyNumberFormat="1" applyFont="1" applyFill="1" applyBorder="1" applyAlignment="1" applyProtection="1">
      <alignment vertical="center"/>
      <protection locked="0"/>
    </xf>
    <xf numFmtId="175" fontId="0" fillId="2" borderId="9" xfId="12" applyNumberFormat="1" applyFont="1" applyFill="1" applyBorder="1" applyAlignment="1" applyProtection="1">
      <alignment vertical="center"/>
      <protection locked="0"/>
    </xf>
    <xf numFmtId="175" fontId="0" fillId="2" borderId="1" xfId="12" applyNumberFormat="1" applyFont="1" applyFill="1" applyBorder="1" applyAlignment="1" applyProtection="1">
      <alignment vertical="center"/>
      <protection locked="0"/>
    </xf>
    <xf numFmtId="175" fontId="5" fillId="2" borderId="0" xfId="12" applyNumberFormat="1" applyFont="1" applyFill="1" applyBorder="1" applyAlignment="1" applyProtection="1">
      <alignment horizontal="right" vertical="center"/>
      <protection locked="0"/>
    </xf>
    <xf numFmtId="175" fontId="5" fillId="2" borderId="1" xfId="12" applyNumberFormat="1" applyFont="1" applyFill="1" applyBorder="1" applyAlignment="1" applyProtection="1">
      <alignment vertical="center"/>
      <protection locked="0"/>
    </xf>
    <xf numFmtId="175" fontId="5" fillId="4" borderId="0" xfId="12" applyNumberFormat="1" applyFont="1" applyFill="1" applyBorder="1" applyAlignment="1" applyProtection="1">
      <alignment horizontal="right" vertical="center"/>
      <protection locked="0"/>
    </xf>
    <xf numFmtId="175" fontId="5" fillId="4" borderId="2" xfId="12" applyNumberFormat="1" applyFont="1" applyFill="1" applyBorder="1" applyAlignment="1" applyProtection="1">
      <alignment horizontal="right" vertical="center"/>
      <protection locked="0"/>
    </xf>
    <xf numFmtId="175" fontId="5" fillId="4" borderId="2" xfId="12" applyNumberFormat="1" applyFont="1" applyFill="1" applyBorder="1" applyAlignment="1" applyProtection="1">
      <alignment vertical="center"/>
      <protection locked="0"/>
    </xf>
    <xf numFmtId="175" fontId="0" fillId="4" borderId="2" xfId="12" applyNumberFormat="1" applyFont="1" applyFill="1" applyBorder="1" applyAlignment="1" applyProtection="1">
      <alignment vertical="center"/>
      <protection locked="0"/>
    </xf>
    <xf numFmtId="175" fontId="5" fillId="4" borderId="1" xfId="12" applyNumberFormat="1" applyFont="1" applyFill="1" applyBorder="1" applyAlignment="1" applyProtection="1">
      <alignment vertical="center"/>
      <protection locked="0"/>
    </xf>
    <xf numFmtId="175" fontId="2" fillId="4" borderId="2" xfId="12" applyNumberFormat="1" applyFont="1" applyFill="1" applyBorder="1" applyAlignment="1" applyProtection="1">
      <alignment horizontal="right" vertical="center"/>
      <protection locked="0"/>
    </xf>
    <xf numFmtId="175" fontId="2" fillId="2" borderId="2" xfId="12" applyNumberFormat="1" applyFont="1" applyFill="1" applyBorder="1" applyAlignment="1" applyProtection="1">
      <alignment horizontal="right" vertical="center"/>
      <protection locked="0"/>
    </xf>
    <xf numFmtId="175" fontId="3" fillId="8" borderId="2" xfId="12" applyNumberFormat="1" applyFont="1" applyFill="1" applyBorder="1" applyAlignment="1" applyProtection="1">
      <alignment horizontal="right" vertical="center"/>
      <protection hidden="1"/>
    </xf>
    <xf numFmtId="175" fontId="3" fillId="0" borderId="0" xfId="12" applyNumberFormat="1" applyFont="1" applyFill="1" applyBorder="1" applyAlignment="1" applyProtection="1">
      <alignment horizontal="center" vertical="center"/>
      <protection locked="0"/>
    </xf>
    <xf numFmtId="175" fontId="3" fillId="0" borderId="0" xfId="12" applyNumberFormat="1" applyFont="1" applyFill="1" applyBorder="1" applyAlignment="1" applyProtection="1">
      <alignment horizontal="right" vertical="center"/>
      <protection hidden="1"/>
    </xf>
    <xf numFmtId="175" fontId="3" fillId="4" borderId="0" xfId="12" applyNumberFormat="1" applyFont="1" applyFill="1" applyBorder="1" applyAlignment="1" applyProtection="1">
      <alignment horizontal="right" vertical="center"/>
      <protection hidden="1"/>
    </xf>
    <xf numFmtId="175" fontId="5" fillId="4" borderId="15" xfId="12" applyNumberFormat="1" applyFont="1" applyFill="1" applyBorder="1" applyAlignment="1" applyProtection="1">
      <alignment horizontal="right" vertical="center"/>
      <protection locked="0"/>
    </xf>
    <xf numFmtId="175" fontId="5" fillId="4" borderId="15" xfId="12" applyNumberFormat="1" applyFont="1" applyFill="1" applyBorder="1" applyAlignment="1" applyProtection="1">
      <alignment vertical="center"/>
      <protection locked="0"/>
    </xf>
    <xf numFmtId="175" fontId="3" fillId="0" borderId="15" xfId="12" applyNumberFormat="1" applyFont="1" applyFill="1" applyBorder="1" applyAlignment="1" applyProtection="1">
      <alignment horizontal="center" vertical="center"/>
      <protection locked="0"/>
    </xf>
    <xf numFmtId="175" fontId="3" fillId="0" borderId="15" xfId="12" applyNumberFormat="1" applyFont="1" applyFill="1" applyBorder="1" applyAlignment="1" applyProtection="1">
      <alignment horizontal="right" vertical="center"/>
      <protection hidden="1"/>
    </xf>
    <xf numFmtId="175" fontId="3" fillId="4" borderId="15" xfId="12" applyNumberFormat="1" applyFont="1" applyFill="1" applyBorder="1" applyAlignment="1" applyProtection="1">
      <alignment horizontal="center" vertical="center"/>
      <protection locked="0"/>
    </xf>
    <xf numFmtId="175" fontId="3" fillId="4" borderId="15" xfId="12" applyNumberFormat="1" applyFont="1" applyFill="1" applyBorder="1" applyAlignment="1" applyProtection="1">
      <alignment horizontal="right" vertical="center"/>
      <protection hidden="1"/>
    </xf>
    <xf numFmtId="175" fontId="20" fillId="2" borderId="11" xfId="12" applyNumberFormat="1" applyFont="1" applyFill="1" applyBorder="1" applyAlignment="1">
      <alignment vertical="center"/>
    </xf>
    <xf numFmtId="175" fontId="20" fillId="2" borderId="9" xfId="12" applyNumberFormat="1" applyFont="1" applyFill="1" applyBorder="1" applyAlignment="1">
      <alignment vertical="center"/>
    </xf>
    <xf numFmtId="175" fontId="2" fillId="2" borderId="2" xfId="12" applyNumberFormat="1" applyFont="1" applyFill="1" applyBorder="1" applyAlignment="1" applyProtection="1">
      <alignment vertical="center"/>
      <protection locked="0"/>
    </xf>
    <xf numFmtId="175" fontId="0" fillId="2" borderId="2" xfId="12" applyNumberFormat="1" applyFont="1" applyFill="1" applyBorder="1" applyAlignment="1" applyProtection="1">
      <alignment vertical="center"/>
      <protection locked="0"/>
    </xf>
    <xf numFmtId="175" fontId="0" fillId="2" borderId="42" xfId="12" applyNumberFormat="1" applyFont="1" applyFill="1" applyBorder="1" applyAlignment="1" applyProtection="1">
      <alignment vertical="center"/>
      <protection locked="0"/>
    </xf>
    <xf numFmtId="175" fontId="2" fillId="2" borderId="42" xfId="12" applyNumberFormat="1" applyFont="1" applyFill="1" applyBorder="1" applyAlignment="1" applyProtection="1">
      <alignment vertical="center"/>
      <protection locked="0"/>
    </xf>
    <xf numFmtId="175" fontId="12" fillId="2" borderId="42" xfId="12" applyNumberFormat="1" applyFont="1" applyFill="1" applyBorder="1" applyAlignment="1" applyProtection="1">
      <alignment vertical="center"/>
      <protection locked="0"/>
    </xf>
    <xf numFmtId="175" fontId="0" fillId="2" borderId="0" xfId="12" applyNumberFormat="1" applyFont="1" applyFill="1" applyBorder="1" applyAlignment="1">
      <alignment vertical="center"/>
    </xf>
    <xf numFmtId="175" fontId="0" fillId="2" borderId="1" xfId="12" applyNumberFormat="1" applyFont="1" applyFill="1" applyBorder="1" applyAlignment="1">
      <alignment vertical="center"/>
    </xf>
    <xf numFmtId="175" fontId="5" fillId="0" borderId="0" xfId="12" applyNumberFormat="1" applyFont="1" applyFill="1" applyBorder="1" applyAlignment="1" applyProtection="1">
      <alignment vertical="center"/>
      <protection locked="0"/>
    </xf>
    <xf numFmtId="175" fontId="4" fillId="0" borderId="0" xfId="12" applyNumberFormat="1" applyFont="1" applyFill="1" applyBorder="1" applyAlignment="1" applyProtection="1">
      <alignment vertical="center"/>
      <protection locked="0"/>
    </xf>
    <xf numFmtId="175" fontId="5" fillId="0" borderId="2" xfId="12" applyNumberFormat="1" applyFont="1" applyFill="1" applyBorder="1" applyAlignment="1" applyProtection="1">
      <alignment horizontal="right" vertical="center"/>
      <protection locked="0"/>
    </xf>
    <xf numFmtId="175" fontId="5" fillId="0" borderId="2" xfId="12" applyNumberFormat="1" applyFont="1" applyFill="1" applyBorder="1" applyAlignment="1" applyProtection="1">
      <alignment vertical="center"/>
      <protection locked="0"/>
    </xf>
    <xf numFmtId="175" fontId="5" fillId="2" borderId="10" xfId="12" applyNumberFormat="1" applyFont="1" applyFill="1" applyBorder="1" applyAlignment="1" applyProtection="1">
      <alignment vertical="center"/>
      <protection locked="0"/>
    </xf>
    <xf numFmtId="175" fontId="3" fillId="8" borderId="3" xfId="12" applyNumberFormat="1" applyFont="1" applyFill="1" applyBorder="1" applyAlignment="1" applyProtection="1">
      <alignment horizontal="right" vertical="center"/>
      <protection hidden="1"/>
    </xf>
    <xf numFmtId="175" fontId="0" fillId="4" borderId="2" xfId="12" applyNumberFormat="1" applyFont="1" applyFill="1" applyBorder="1" applyAlignment="1" applyProtection="1">
      <alignment horizontal="right" vertical="center"/>
      <protection locked="0"/>
    </xf>
    <xf numFmtId="175" fontId="5" fillId="2" borderId="11" xfId="12" applyNumberFormat="1" applyFont="1" applyFill="1" applyBorder="1" applyAlignment="1" applyProtection="1">
      <alignment vertical="center"/>
      <protection locked="0"/>
    </xf>
    <xf numFmtId="175" fontId="5" fillId="2" borderId="9" xfId="12" applyNumberFormat="1" applyFont="1" applyFill="1" applyBorder="1" applyAlignment="1" applyProtection="1">
      <alignment vertical="center"/>
      <protection locked="0"/>
    </xf>
    <xf numFmtId="175" fontId="0" fillId="2" borderId="15" xfId="12" applyNumberFormat="1" applyFont="1" applyFill="1" applyBorder="1" applyAlignment="1" applyProtection="1">
      <alignment vertical="center"/>
      <protection locked="0"/>
    </xf>
    <xf numFmtId="175" fontId="12" fillId="0" borderId="2" xfId="12" applyNumberFormat="1" applyFont="1" applyFill="1" applyBorder="1" applyAlignment="1" applyProtection="1">
      <alignment vertical="center"/>
      <protection locked="0"/>
    </xf>
    <xf numFmtId="175" fontId="12" fillId="0" borderId="42" xfId="12" applyNumberFormat="1" applyFont="1" applyFill="1" applyBorder="1" applyAlignment="1" applyProtection="1">
      <alignment vertical="center"/>
      <protection locked="0"/>
    </xf>
    <xf numFmtId="175" fontId="12" fillId="2" borderId="2" xfId="12" applyNumberFormat="1" applyFont="1" applyFill="1" applyBorder="1" applyAlignment="1" applyProtection="1">
      <alignment horizontal="right" vertical="center"/>
      <protection locked="0"/>
    </xf>
    <xf numFmtId="175" fontId="12" fillId="2" borderId="3" xfId="12" applyNumberFormat="1" applyFont="1" applyFill="1" applyBorder="1" applyAlignment="1" applyProtection="1">
      <alignment vertical="center"/>
      <protection locked="0"/>
    </xf>
    <xf numFmtId="175" fontId="12" fillId="6" borderId="10" xfId="12" applyNumberFormat="1" applyFont="1" applyFill="1" applyBorder="1" applyAlignment="1">
      <alignment vertical="center"/>
    </xf>
    <xf numFmtId="175" fontId="12" fillId="2" borderId="1" xfId="12" applyNumberFormat="1" applyFont="1" applyFill="1" applyBorder="1" applyAlignment="1">
      <alignment vertical="center"/>
    </xf>
    <xf numFmtId="175" fontId="3" fillId="4" borderId="10" xfId="12" applyNumberFormat="1" applyFont="1" applyFill="1" applyBorder="1" applyAlignment="1" applyProtection="1">
      <alignment horizontal="center" vertical="center"/>
      <protection locked="0"/>
    </xf>
    <xf numFmtId="175" fontId="3" fillId="4" borderId="10" xfId="12" applyNumberFormat="1" applyFont="1" applyFill="1" applyBorder="1" applyAlignment="1" applyProtection="1">
      <alignment horizontal="right" vertical="center"/>
      <protection hidden="1"/>
    </xf>
    <xf numFmtId="175" fontId="3" fillId="5" borderId="3" xfId="12" applyNumberFormat="1" applyFont="1" applyFill="1" applyBorder="1" applyAlignment="1" applyProtection="1">
      <alignment horizontal="center" vertical="center"/>
      <protection hidden="1"/>
    </xf>
    <xf numFmtId="175" fontId="5" fillId="2" borderId="41" xfId="12" applyNumberFormat="1" applyFont="1" applyFill="1" applyBorder="1" applyAlignment="1" applyProtection="1">
      <alignment vertical="center"/>
      <protection locked="0"/>
    </xf>
    <xf numFmtId="175" fontId="0" fillId="2" borderId="41" xfId="12" applyNumberFormat="1" applyFont="1" applyFill="1" applyBorder="1" applyAlignment="1" applyProtection="1">
      <alignment vertical="center"/>
      <protection locked="0"/>
    </xf>
    <xf numFmtId="0" fontId="0" fillId="2" borderId="47" xfId="0" applyFill="1" applyBorder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25" fillId="2" borderId="0" xfId="0" applyFont="1" applyFill="1" applyAlignment="1">
      <alignment horizontal="right" vertical="center"/>
    </xf>
    <xf numFmtId="0" fontId="4" fillId="6" borderId="47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5" fillId="2" borderId="2" xfId="12" applyNumberFormat="1" applyFont="1" applyFill="1" applyBorder="1" applyAlignment="1" applyProtection="1">
      <alignment horizontal="center" vertical="center"/>
      <protection locked="0"/>
    </xf>
    <xf numFmtId="0" fontId="5" fillId="0" borderId="2" xfId="12" applyNumberFormat="1" applyFont="1" applyFill="1" applyBorder="1" applyAlignment="1" applyProtection="1">
      <alignment horizontal="center" vertical="center"/>
      <protection locked="0"/>
    </xf>
    <xf numFmtId="9" fontId="3" fillId="4" borderId="0" xfId="13" applyFont="1" applyFill="1" applyBorder="1" applyAlignment="1" applyProtection="1">
      <alignment horizontal="center" vertical="center"/>
      <protection hidden="1"/>
    </xf>
    <xf numFmtId="173" fontId="0" fillId="0" borderId="0" xfId="0" applyNumberFormat="1"/>
    <xf numFmtId="173" fontId="4" fillId="6" borderId="44" xfId="0" applyNumberFormat="1" applyFont="1" applyFill="1" applyBorder="1" applyAlignment="1">
      <alignment horizontal="center" vertical="center"/>
    </xf>
    <xf numFmtId="175" fontId="0" fillId="4" borderId="42" xfId="12" applyNumberFormat="1" applyFont="1" applyFill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3" fontId="2" fillId="2" borderId="7" xfId="0" applyNumberFormat="1" applyFont="1" applyFill="1" applyBorder="1" applyAlignment="1">
      <alignment vertical="center"/>
    </xf>
    <xf numFmtId="3" fontId="2" fillId="2" borderId="12" xfId="0" applyNumberFormat="1" applyFont="1" applyFill="1" applyBorder="1" applyAlignment="1">
      <alignment vertical="center"/>
    </xf>
    <xf numFmtId="173" fontId="4" fillId="6" borderId="48" xfId="0" applyNumberFormat="1" applyFont="1" applyFill="1" applyBorder="1" applyAlignment="1">
      <alignment horizontal="center" vertical="center"/>
    </xf>
    <xf numFmtId="173" fontId="0" fillId="0" borderId="48" xfId="12" applyNumberFormat="1" applyFont="1" applyBorder="1"/>
    <xf numFmtId="173" fontId="2" fillId="0" borderId="48" xfId="12" applyNumberFormat="1" applyFont="1" applyBorder="1"/>
    <xf numFmtId="175" fontId="2" fillId="4" borderId="2" xfId="12" applyNumberFormat="1" applyFont="1" applyFill="1" applyBorder="1" applyAlignment="1" applyProtection="1">
      <alignment vertical="center"/>
      <protection locked="0"/>
    </xf>
    <xf numFmtId="175" fontId="5" fillId="4" borderId="42" xfId="12" applyNumberFormat="1" applyFont="1" applyFill="1" applyBorder="1" applyAlignment="1" applyProtection="1">
      <alignment vertical="center"/>
      <protection locked="0"/>
    </xf>
    <xf numFmtId="175" fontId="12" fillId="4" borderId="2" xfId="12" applyNumberFormat="1" applyFont="1" applyFill="1" applyBorder="1" applyAlignment="1" applyProtection="1">
      <alignment horizontal="right" vertical="center"/>
      <protection locked="0"/>
    </xf>
    <xf numFmtId="0" fontId="2" fillId="0" borderId="0" xfId="0" applyFont="1"/>
    <xf numFmtId="175" fontId="40" fillId="4" borderId="2" xfId="12" applyNumberFormat="1" applyFont="1" applyFill="1" applyBorder="1" applyAlignment="1" applyProtection="1">
      <alignment vertical="center"/>
      <protection locked="0"/>
    </xf>
    <xf numFmtId="166" fontId="5" fillId="5" borderId="0" xfId="1" applyFont="1" applyFill="1" applyBorder="1" applyAlignment="1" applyProtection="1">
      <alignment horizontal="center" vertical="center"/>
      <protection locked="0"/>
    </xf>
    <xf numFmtId="166" fontId="5" fillId="2" borderId="37" xfId="1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25" fillId="2" borderId="1" xfId="0" applyFont="1" applyFill="1" applyBorder="1" applyAlignment="1" applyProtection="1">
      <alignment horizontal="center" vertical="center"/>
      <protection locked="0"/>
    </xf>
    <xf numFmtId="166" fontId="5" fillId="2" borderId="0" xfId="1" applyFont="1" applyFill="1" applyBorder="1" applyAlignment="1" applyProtection="1">
      <alignment horizontal="center" vertical="center"/>
      <protection hidden="1"/>
    </xf>
    <xf numFmtId="166" fontId="7" fillId="7" borderId="10" xfId="1" applyFont="1" applyFill="1" applyBorder="1" applyAlignment="1" applyProtection="1">
      <alignment horizontal="center" vertical="center"/>
      <protection hidden="1"/>
    </xf>
    <xf numFmtId="166" fontId="5" fillId="2" borderId="8" xfId="1" applyFont="1" applyFill="1" applyBorder="1" applyAlignment="1" applyProtection="1">
      <alignment horizontal="center" vertical="center"/>
      <protection hidden="1"/>
    </xf>
    <xf numFmtId="166" fontId="7" fillId="4" borderId="10" xfId="1" applyFont="1" applyFill="1" applyBorder="1" applyAlignment="1" applyProtection="1">
      <alignment horizontal="center" vertical="center"/>
      <protection hidden="1"/>
    </xf>
    <xf numFmtId="166" fontId="5" fillId="2" borderId="11" xfId="1" applyFont="1" applyFill="1" applyBorder="1" applyAlignment="1" applyProtection="1">
      <alignment horizontal="center" vertical="center"/>
      <protection hidden="1"/>
    </xf>
    <xf numFmtId="0" fontId="0" fillId="4" borderId="0" xfId="0" applyFill="1" applyAlignment="1">
      <alignment horizontal="center"/>
    </xf>
    <xf numFmtId="166" fontId="5" fillId="2" borderId="0" xfId="1" applyFont="1" applyFill="1" applyBorder="1" applyAlignment="1" applyProtection="1">
      <alignment horizontal="center" vertical="center"/>
      <protection locked="0"/>
    </xf>
    <xf numFmtId="166" fontId="3" fillId="5" borderId="2" xfId="1" applyFont="1" applyFill="1" applyBorder="1" applyAlignment="1" applyProtection="1">
      <alignment horizontal="center" vertical="center"/>
      <protection hidden="1"/>
    </xf>
    <xf numFmtId="1" fontId="0" fillId="2" borderId="3" xfId="1" applyNumberFormat="1" applyFont="1" applyFill="1" applyBorder="1" applyAlignment="1" applyProtection="1">
      <alignment horizontal="center" vertical="center"/>
      <protection locked="0"/>
    </xf>
    <xf numFmtId="1" fontId="0" fillId="2" borderId="2" xfId="1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Alignment="1">
      <alignment horizontal="center" vertical="center"/>
    </xf>
    <xf numFmtId="166" fontId="0" fillId="2" borderId="0" xfId="1" applyFont="1" applyFill="1" applyBorder="1" applyAlignment="1" applyProtection="1">
      <alignment horizontal="center" vertical="center"/>
      <protection locked="0"/>
    </xf>
    <xf numFmtId="166" fontId="0" fillId="2" borderId="2" xfId="1" applyFont="1" applyFill="1" applyBorder="1" applyAlignment="1" applyProtection="1">
      <alignment horizontal="center" vertical="center"/>
      <protection locked="0"/>
    </xf>
    <xf numFmtId="2" fontId="5" fillId="4" borderId="2" xfId="1" applyNumberFormat="1" applyFont="1" applyFill="1" applyBorder="1" applyAlignment="1" applyProtection="1">
      <alignment horizontal="center" vertical="center"/>
      <protection locked="0"/>
    </xf>
    <xf numFmtId="1" fontId="5" fillId="2" borderId="2" xfId="1" applyNumberFormat="1" applyFont="1" applyFill="1" applyBorder="1" applyAlignment="1" applyProtection="1">
      <alignment horizontal="center" vertical="center"/>
      <protection locked="0"/>
    </xf>
    <xf numFmtId="1" fontId="5" fillId="4" borderId="2" xfId="1" applyNumberFormat="1" applyFont="1" applyFill="1" applyBorder="1" applyAlignment="1" applyProtection="1">
      <alignment horizontal="center" vertical="center"/>
      <protection locked="0"/>
    </xf>
    <xf numFmtId="4" fontId="0" fillId="4" borderId="2" xfId="0" applyNumberFormat="1" applyFill="1" applyBorder="1" applyAlignment="1" applyProtection="1">
      <alignment horizontal="center" vertical="center"/>
      <protection locked="0"/>
    </xf>
    <xf numFmtId="166" fontId="5" fillId="4" borderId="0" xfId="1" applyFont="1" applyFill="1" applyBorder="1" applyAlignment="1" applyProtection="1">
      <alignment horizontal="center" vertical="center"/>
      <protection locked="0"/>
    </xf>
    <xf numFmtId="166" fontId="5" fillId="4" borderId="2" xfId="1" applyFont="1" applyFill="1" applyBorder="1" applyAlignment="1" applyProtection="1">
      <alignment horizontal="center" vertical="center"/>
      <protection locked="0"/>
    </xf>
    <xf numFmtId="166" fontId="0" fillId="4" borderId="2" xfId="1" applyFont="1" applyFill="1" applyBorder="1" applyAlignment="1" applyProtection="1">
      <alignment horizontal="center" vertical="center"/>
      <protection locked="0"/>
    </xf>
    <xf numFmtId="4" fontId="5" fillId="4" borderId="2" xfId="0" applyNumberFormat="1" applyFont="1" applyFill="1" applyBorder="1" applyAlignment="1" applyProtection="1">
      <alignment horizontal="center" vertical="center"/>
      <protection locked="0"/>
    </xf>
    <xf numFmtId="1" fontId="5" fillId="4" borderId="0" xfId="1" applyNumberFormat="1" applyFont="1" applyFill="1" applyBorder="1" applyAlignment="1" applyProtection="1">
      <alignment horizontal="center" vertical="center"/>
      <protection locked="0"/>
    </xf>
    <xf numFmtId="166" fontId="5" fillId="2" borderId="2" xfId="1" applyFont="1" applyFill="1" applyBorder="1" applyAlignment="1" applyProtection="1">
      <alignment horizontal="center" vertical="center"/>
      <protection locked="0"/>
    </xf>
    <xf numFmtId="1" fontId="5" fillId="2" borderId="0" xfId="1" applyNumberFormat="1" applyFont="1" applyFill="1" applyBorder="1" applyAlignment="1" applyProtection="1">
      <alignment horizontal="center" vertical="center"/>
      <protection locked="0"/>
    </xf>
    <xf numFmtId="166" fontId="2" fillId="4" borderId="2" xfId="1" applyFont="1" applyFill="1" applyBorder="1" applyAlignment="1" applyProtection="1">
      <alignment horizontal="center" vertical="center"/>
      <protection locked="0"/>
    </xf>
    <xf numFmtId="166" fontId="0" fillId="12" borderId="2" xfId="0" applyNumberFormat="1" applyFill="1" applyBorder="1" applyAlignment="1" applyProtection="1">
      <alignment horizontal="center" vertical="center"/>
      <protection locked="0"/>
    </xf>
    <xf numFmtId="166" fontId="0" fillId="12" borderId="3" xfId="0" applyNumberFormat="1" applyFill="1" applyBorder="1" applyAlignment="1" applyProtection="1">
      <alignment horizontal="center" vertical="center"/>
      <protection locked="0"/>
    </xf>
    <xf numFmtId="1" fontId="0" fillId="12" borderId="3" xfId="0" applyNumberFormat="1" applyFill="1" applyBorder="1" applyAlignment="1" applyProtection="1">
      <alignment horizontal="center" vertical="center"/>
      <protection locked="0"/>
    </xf>
    <xf numFmtId="1" fontId="0" fillId="10" borderId="3" xfId="0" applyNumberFormat="1" applyFill="1" applyBorder="1" applyAlignment="1" applyProtection="1">
      <alignment horizontal="center" vertical="center"/>
      <protection locked="0"/>
    </xf>
    <xf numFmtId="166" fontId="0" fillId="10" borderId="3" xfId="0" applyNumberFormat="1" applyFill="1" applyBorder="1" applyAlignment="1" applyProtection="1">
      <alignment horizontal="center" vertical="center"/>
      <protection locked="0"/>
    </xf>
    <xf numFmtId="166" fontId="0" fillId="10" borderId="2" xfId="0" applyNumberForma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166" fontId="5" fillId="2" borderId="14" xfId="1" applyFont="1" applyFill="1" applyBorder="1" applyAlignment="1" applyProtection="1">
      <alignment horizontal="center" vertical="center"/>
      <protection locked="0"/>
    </xf>
    <xf numFmtId="2" fontId="0" fillId="10" borderId="3" xfId="0" applyNumberFormat="1" applyFill="1" applyBorder="1" applyAlignment="1" applyProtection="1">
      <alignment horizontal="center" vertical="center"/>
      <protection locked="0"/>
    </xf>
    <xf numFmtId="4" fontId="25" fillId="2" borderId="9" xfId="0" applyNumberFormat="1" applyFont="1" applyFill="1" applyBorder="1" applyAlignment="1" applyProtection="1">
      <alignment horizontal="center" vertical="center"/>
      <protection locked="0"/>
    </xf>
    <xf numFmtId="166" fontId="5" fillId="4" borderId="15" xfId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 vertical="center"/>
    </xf>
    <xf numFmtId="1" fontId="25" fillId="2" borderId="42" xfId="1" applyNumberFormat="1" applyFon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25" fillId="2" borderId="42" xfId="0" applyNumberFormat="1" applyFont="1" applyFill="1" applyBorder="1" applyAlignment="1" applyProtection="1">
      <alignment horizontal="center" vertical="center"/>
      <protection locked="0"/>
    </xf>
    <xf numFmtId="166" fontId="5" fillId="0" borderId="0" xfId="1" applyFont="1" applyFill="1" applyBorder="1" applyAlignment="1" applyProtection="1">
      <alignment horizontal="center" vertical="center"/>
      <protection locked="0"/>
    </xf>
    <xf numFmtId="10" fontId="5" fillId="2" borderId="2" xfId="1" applyNumberFormat="1" applyFont="1" applyFill="1" applyBorder="1" applyAlignment="1" applyProtection="1">
      <alignment horizontal="center" vertical="center"/>
      <protection locked="0"/>
    </xf>
    <xf numFmtId="166" fontId="5" fillId="2" borderId="4" xfId="1" applyFont="1" applyFill="1" applyBorder="1" applyAlignment="1" applyProtection="1">
      <alignment horizontal="center" vertical="center"/>
      <protection locked="0"/>
    </xf>
    <xf numFmtId="1" fontId="2" fillId="0" borderId="2" xfId="1" applyNumberFormat="1" applyFont="1" applyFill="1" applyBorder="1" applyAlignment="1" applyProtection="1">
      <alignment horizontal="center" vertical="center"/>
      <protection locked="0"/>
    </xf>
    <xf numFmtId="1" fontId="2" fillId="2" borderId="2" xfId="1" applyNumberFormat="1" applyFont="1" applyFill="1" applyBorder="1" applyAlignment="1" applyProtection="1">
      <alignment horizontal="center" vertical="center"/>
      <protection locked="0"/>
    </xf>
    <xf numFmtId="1" fontId="0" fillId="2" borderId="42" xfId="1" applyNumberFormat="1" applyFont="1" applyFill="1" applyBorder="1" applyAlignment="1" applyProtection="1">
      <alignment horizontal="center" vertical="center"/>
      <protection locked="0"/>
    </xf>
    <xf numFmtId="166" fontId="0" fillId="2" borderId="12" xfId="1" applyFont="1" applyFill="1" applyBorder="1" applyAlignment="1" applyProtection="1">
      <alignment horizontal="center" vertical="center"/>
      <protection locked="0"/>
    </xf>
    <xf numFmtId="1" fontId="25" fillId="2" borderId="2" xfId="1" applyNumberFormat="1" applyFont="1" applyFill="1" applyBorder="1" applyAlignment="1" applyProtection="1">
      <alignment horizontal="center" vertical="center"/>
      <protection locked="0"/>
    </xf>
    <xf numFmtId="166" fontId="5" fillId="2" borderId="13" xfId="1" applyFont="1" applyFill="1" applyBorder="1" applyAlignment="1" applyProtection="1">
      <alignment horizontal="center" vertical="center"/>
      <protection locked="0"/>
    </xf>
    <xf numFmtId="166" fontId="0" fillId="2" borderId="14" xfId="1" applyFont="1" applyFill="1" applyBorder="1" applyAlignment="1" applyProtection="1">
      <alignment horizontal="center" vertical="center"/>
      <protection locked="0"/>
    </xf>
    <xf numFmtId="166" fontId="2" fillId="2" borderId="2" xfId="1" applyFont="1" applyFill="1" applyBorder="1" applyAlignment="1" applyProtection="1">
      <alignment horizontal="center" vertical="center"/>
      <protection locked="0"/>
    </xf>
    <xf numFmtId="0" fontId="10" fillId="6" borderId="2" xfId="0" applyFont="1" applyFill="1" applyBorder="1" applyAlignment="1">
      <alignment horizontal="center" vertical="center"/>
    </xf>
    <xf numFmtId="10" fontId="0" fillId="2" borderId="2" xfId="1" applyNumberFormat="1" applyFont="1" applyFill="1" applyBorder="1" applyAlignment="1" applyProtection="1">
      <alignment horizontal="center" vertical="center"/>
      <protection locked="0"/>
    </xf>
    <xf numFmtId="1" fontId="0" fillId="2" borderId="0" xfId="1" applyNumberFormat="1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horizontal="center" vertical="center"/>
    </xf>
    <xf numFmtId="9" fontId="0" fillId="2" borderId="2" xfId="1" applyNumberFormat="1" applyFont="1" applyFill="1" applyBorder="1" applyAlignment="1" applyProtection="1">
      <alignment horizontal="center" vertical="center"/>
      <protection locked="0"/>
    </xf>
    <xf numFmtId="9" fontId="0" fillId="2" borderId="0" xfId="1" applyNumberFormat="1" applyFont="1" applyFill="1" applyBorder="1" applyAlignment="1" applyProtection="1">
      <alignment horizontal="center" vertical="center"/>
      <protection locked="0"/>
    </xf>
    <xf numFmtId="166" fontId="5" fillId="2" borderId="41" xfId="1" applyFont="1" applyFill="1" applyBorder="1" applyAlignment="1" applyProtection="1">
      <alignment horizontal="center" vertical="center"/>
      <protection locked="0"/>
    </xf>
    <xf numFmtId="0" fontId="5" fillId="2" borderId="14" xfId="12" applyNumberFormat="1" applyFont="1" applyFill="1" applyBorder="1" applyAlignment="1" applyProtection="1">
      <alignment horizontal="center" vertical="center"/>
      <protection locked="0"/>
    </xf>
    <xf numFmtId="0" fontId="5" fillId="2" borderId="4" xfId="12" applyNumberFormat="1" applyFont="1" applyFill="1" applyBorder="1" applyAlignment="1" applyProtection="1">
      <alignment horizontal="center" vertical="center"/>
      <protection locked="0"/>
    </xf>
    <xf numFmtId="0" fontId="12" fillId="2" borderId="4" xfId="12" applyNumberFormat="1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/>
    </xf>
    <xf numFmtId="1" fontId="0" fillId="4" borderId="2" xfId="1" applyNumberFormat="1" applyFont="1" applyFill="1" applyBorder="1" applyAlignment="1" applyProtection="1">
      <alignment horizontal="center" vertical="center"/>
      <protection locked="0"/>
    </xf>
    <xf numFmtId="175" fontId="5" fillId="4" borderId="5" xfId="12" applyNumberFormat="1" applyFont="1" applyFill="1" applyBorder="1" applyAlignment="1" applyProtection="1">
      <alignment vertical="center"/>
      <protection locked="0"/>
    </xf>
    <xf numFmtId="3" fontId="0" fillId="4" borderId="2" xfId="0" applyNumberFormat="1" applyFill="1" applyBorder="1" applyAlignment="1">
      <alignment vertical="center"/>
    </xf>
    <xf numFmtId="3" fontId="0" fillId="4" borderId="0" xfId="0" applyNumberFormat="1" applyFill="1" applyAlignment="1">
      <alignment vertical="center"/>
    </xf>
    <xf numFmtId="0" fontId="0" fillId="4" borderId="42" xfId="0" applyFill="1" applyBorder="1" applyAlignment="1" applyProtection="1">
      <alignment horizontal="left" vertical="center"/>
      <protection locked="0"/>
    </xf>
    <xf numFmtId="1" fontId="0" fillId="4" borderId="42" xfId="1" applyNumberFormat="1" applyFont="1" applyFill="1" applyBorder="1" applyAlignment="1" applyProtection="1">
      <alignment horizontal="center" vertical="center"/>
      <protection locked="0"/>
    </xf>
    <xf numFmtId="175" fontId="2" fillId="4" borderId="42" xfId="12" applyNumberFormat="1" applyFont="1" applyFill="1" applyBorder="1" applyAlignment="1" applyProtection="1">
      <alignment vertical="center"/>
      <protection locked="0"/>
    </xf>
    <xf numFmtId="3" fontId="0" fillId="4" borderId="42" xfId="0" applyNumberFormat="1" applyFill="1" applyBorder="1" applyAlignment="1">
      <alignment vertical="center"/>
    </xf>
    <xf numFmtId="0" fontId="24" fillId="4" borderId="4" xfId="0" applyFont="1" applyFill="1" applyBorder="1" applyAlignment="1" applyProtection="1">
      <alignment horizontal="left" vertical="center"/>
      <protection locked="0"/>
    </xf>
    <xf numFmtId="0" fontId="4" fillId="4" borderId="4" xfId="0" applyFont="1" applyFill="1" applyBorder="1" applyAlignment="1" applyProtection="1">
      <alignment horizontal="left" vertical="center"/>
      <protection locked="0"/>
    </xf>
    <xf numFmtId="0" fontId="15" fillId="5" borderId="29" xfId="12" applyNumberFormat="1" applyFont="1" applyFill="1" applyBorder="1" applyAlignment="1" applyProtection="1">
      <alignment horizontal="center" vertical="center"/>
      <protection locked="0"/>
    </xf>
    <xf numFmtId="0" fontId="3" fillId="5" borderId="4" xfId="12" applyNumberFormat="1" applyFont="1" applyFill="1" applyBorder="1" applyAlignment="1" applyProtection="1">
      <alignment horizontal="center" vertical="center"/>
      <protection locked="0"/>
    </xf>
    <xf numFmtId="0" fontId="3" fillId="4" borderId="0" xfId="12" applyNumberFormat="1" applyFont="1" applyFill="1" applyBorder="1" applyAlignment="1" applyProtection="1">
      <alignment horizontal="center" vertical="center"/>
      <protection locked="0"/>
    </xf>
    <xf numFmtId="0" fontId="3" fillId="0" borderId="0" xfId="12" applyNumberFormat="1" applyFont="1" applyFill="1" applyBorder="1" applyAlignment="1" applyProtection="1">
      <alignment horizontal="center" vertical="center"/>
      <protection locked="0"/>
    </xf>
    <xf numFmtId="0" fontId="3" fillId="0" borderId="15" xfId="12" applyNumberFormat="1" applyFont="1" applyFill="1" applyBorder="1" applyAlignment="1" applyProtection="1">
      <alignment horizontal="center" vertical="center"/>
      <protection locked="0"/>
    </xf>
    <xf numFmtId="0" fontId="3" fillId="4" borderId="15" xfId="12" applyNumberFormat="1" applyFont="1" applyFill="1" applyBorder="1" applyAlignment="1" applyProtection="1">
      <alignment horizontal="center" vertical="center"/>
      <protection locked="0"/>
    </xf>
    <xf numFmtId="0" fontId="0" fillId="6" borderId="2" xfId="12" applyNumberFormat="1" applyFont="1" applyFill="1" applyBorder="1" applyAlignment="1">
      <alignment horizontal="center" vertical="center"/>
    </xf>
    <xf numFmtId="0" fontId="3" fillId="4" borderId="10" xfId="12" applyNumberFormat="1" applyFont="1" applyFill="1" applyBorder="1" applyAlignment="1" applyProtection="1">
      <alignment horizontal="center" vertical="center"/>
      <protection locked="0"/>
    </xf>
    <xf numFmtId="0" fontId="5" fillId="5" borderId="0" xfId="12" applyNumberFormat="1" applyFont="1" applyFill="1" applyBorder="1" applyAlignment="1" applyProtection="1">
      <alignment horizontal="center" vertical="center"/>
      <protection locked="0"/>
    </xf>
    <xf numFmtId="0" fontId="5" fillId="2" borderId="37" xfId="12" applyNumberFormat="1" applyFont="1" applyFill="1" applyBorder="1" applyAlignment="1" applyProtection="1">
      <alignment horizontal="center" vertical="center"/>
      <protection locked="0"/>
    </xf>
    <xf numFmtId="0" fontId="2" fillId="2" borderId="18" xfId="12" applyNumberFormat="1" applyFont="1" applyFill="1" applyBorder="1" applyAlignment="1">
      <alignment horizontal="center" vertical="center"/>
    </xf>
    <xf numFmtId="0" fontId="2" fillId="0" borderId="1" xfId="12" applyNumberFormat="1" applyFont="1" applyBorder="1" applyAlignment="1">
      <alignment horizontal="center" vertical="center"/>
    </xf>
    <xf numFmtId="0" fontId="5" fillId="2" borderId="0" xfId="12" applyNumberFormat="1" applyFont="1" applyFill="1" applyBorder="1" applyAlignment="1" applyProtection="1">
      <alignment horizontal="center" vertical="center"/>
      <protection hidden="1"/>
    </xf>
    <xf numFmtId="0" fontId="7" fillId="7" borderId="10" xfId="12" applyNumberFormat="1" applyFont="1" applyFill="1" applyBorder="1" applyAlignment="1" applyProtection="1">
      <alignment horizontal="center" vertical="center"/>
      <protection hidden="1"/>
    </xf>
    <xf numFmtId="0" fontId="5" fillId="2" borderId="8" xfId="12" applyNumberFormat="1" applyFont="1" applyFill="1" applyBorder="1" applyAlignment="1" applyProtection="1">
      <alignment horizontal="center" vertical="center"/>
      <protection hidden="1"/>
    </xf>
    <xf numFmtId="0" fontId="7" fillId="4" borderId="10" xfId="12" applyNumberFormat="1" applyFont="1" applyFill="1" applyBorder="1" applyAlignment="1" applyProtection="1">
      <alignment horizontal="center" vertical="center"/>
      <protection hidden="1"/>
    </xf>
    <xf numFmtId="0" fontId="3" fillId="4" borderId="0" xfId="12" applyNumberFormat="1" applyFont="1" applyFill="1" applyAlignment="1" applyProtection="1">
      <alignment horizontal="center" vertical="center"/>
      <protection locked="0"/>
    </xf>
    <xf numFmtId="0" fontId="25" fillId="4" borderId="0" xfId="12" applyNumberFormat="1" applyFont="1" applyFill="1" applyAlignment="1">
      <alignment horizontal="center"/>
    </xf>
    <xf numFmtId="0" fontId="0" fillId="4" borderId="0" xfId="12" applyNumberFormat="1" applyFont="1" applyFill="1" applyAlignment="1">
      <alignment horizontal="center"/>
    </xf>
    <xf numFmtId="0" fontId="5" fillId="2" borderId="0" xfId="12" applyNumberFormat="1" applyFont="1" applyFill="1" applyBorder="1" applyAlignment="1" applyProtection="1">
      <alignment horizontal="center" vertical="center"/>
      <protection locked="0"/>
    </xf>
    <xf numFmtId="0" fontId="0" fillId="2" borderId="0" xfId="12" applyNumberFormat="1" applyFont="1" applyFill="1" applyBorder="1" applyAlignment="1" applyProtection="1">
      <alignment horizontal="center" vertical="center"/>
      <protection locked="0"/>
    </xf>
    <xf numFmtId="0" fontId="5" fillId="2" borderId="0" xfId="12" applyNumberFormat="1" applyFont="1" applyFill="1" applyAlignment="1">
      <alignment horizontal="center" vertical="center"/>
    </xf>
    <xf numFmtId="0" fontId="5" fillId="4" borderId="2" xfId="12" applyNumberFormat="1" applyFont="1" applyFill="1" applyBorder="1" applyAlignment="1" applyProtection="1">
      <alignment horizontal="center" vertical="center"/>
      <protection locked="0"/>
    </xf>
    <xf numFmtId="0" fontId="0" fillId="4" borderId="2" xfId="12" applyNumberFormat="1" applyFont="1" applyFill="1" applyBorder="1" applyAlignment="1" applyProtection="1">
      <alignment horizontal="center" vertical="center"/>
      <protection locked="0"/>
    </xf>
    <xf numFmtId="0" fontId="5" fillId="4" borderId="0" xfId="12" applyNumberFormat="1" applyFont="1" applyFill="1" applyBorder="1" applyAlignment="1" applyProtection="1">
      <alignment horizontal="center" vertical="center"/>
      <protection locked="0"/>
    </xf>
    <xf numFmtId="0" fontId="5" fillId="4" borderId="0" xfId="12" applyNumberFormat="1" applyFont="1" applyFill="1" applyAlignment="1">
      <alignment horizontal="center" vertical="center"/>
    </xf>
    <xf numFmtId="0" fontId="2" fillId="4" borderId="2" xfId="12" applyNumberFormat="1" applyFont="1" applyFill="1" applyBorder="1" applyAlignment="1" applyProtection="1">
      <alignment horizontal="center" vertical="center"/>
      <protection locked="0"/>
    </xf>
    <xf numFmtId="0" fontId="5" fillId="4" borderId="15" xfId="12" applyNumberFormat="1" applyFont="1" applyFill="1" applyBorder="1" applyAlignment="1" applyProtection="1">
      <alignment horizontal="center" vertical="center"/>
      <protection locked="0"/>
    </xf>
    <xf numFmtId="0" fontId="5" fillId="0" borderId="9" xfId="12" applyNumberFormat="1" applyFont="1" applyFill="1" applyBorder="1" applyAlignment="1" applyProtection="1">
      <alignment horizontal="center" vertical="center"/>
      <protection locked="0"/>
    </xf>
    <xf numFmtId="0" fontId="20" fillId="2" borderId="11" xfId="12" applyNumberFormat="1" applyFont="1" applyFill="1" applyBorder="1" applyAlignment="1">
      <alignment horizontal="center" vertical="center"/>
    </xf>
    <xf numFmtId="0" fontId="0" fillId="2" borderId="2" xfId="12" applyNumberFormat="1" applyFont="1" applyFill="1" applyBorder="1" applyAlignment="1" applyProtection="1">
      <alignment horizontal="center" vertical="center"/>
      <protection locked="0"/>
    </xf>
    <xf numFmtId="0" fontId="12" fillId="2" borderId="2" xfId="12" applyNumberFormat="1" applyFont="1" applyFill="1" applyBorder="1" applyAlignment="1" applyProtection="1">
      <alignment horizontal="center" vertical="center"/>
      <protection locked="0"/>
    </xf>
    <xf numFmtId="0" fontId="12" fillId="2" borderId="42" xfId="12" applyNumberFormat="1" applyFont="1" applyFill="1" applyBorder="1" applyAlignment="1" applyProtection="1">
      <alignment horizontal="center" vertical="center"/>
      <protection locked="0"/>
    </xf>
    <xf numFmtId="0" fontId="0" fillId="2" borderId="42" xfId="12" applyNumberFormat="1" applyFont="1" applyFill="1" applyBorder="1" applyAlignment="1" applyProtection="1">
      <alignment horizontal="center" vertical="center"/>
      <protection locked="0"/>
    </xf>
    <xf numFmtId="0" fontId="0" fillId="2" borderId="0" xfId="12" applyNumberFormat="1" applyFont="1" applyFill="1" applyBorder="1" applyAlignment="1">
      <alignment horizontal="center" vertical="center"/>
    </xf>
    <xf numFmtId="0" fontId="5" fillId="0" borderId="0" xfId="12" applyNumberFormat="1" applyFont="1" applyFill="1" applyBorder="1" applyAlignment="1" applyProtection="1">
      <alignment horizontal="center" vertical="center"/>
      <protection locked="0"/>
    </xf>
    <xf numFmtId="0" fontId="5" fillId="2" borderId="16" xfId="12" applyNumberFormat="1" applyFont="1" applyFill="1" applyBorder="1" applyAlignment="1" applyProtection="1">
      <alignment horizontal="center" vertical="center"/>
      <protection locked="0"/>
    </xf>
    <xf numFmtId="0" fontId="5" fillId="4" borderId="5" xfId="12" applyNumberFormat="1" applyFont="1" applyFill="1" applyBorder="1" applyAlignment="1" applyProtection="1">
      <alignment horizontal="center" vertical="center"/>
      <protection locked="0"/>
    </xf>
    <xf numFmtId="0" fontId="5" fillId="2" borderId="7" xfId="12" applyNumberFormat="1" applyFont="1" applyFill="1" applyBorder="1" applyAlignment="1" applyProtection="1">
      <alignment horizontal="center" vertical="center"/>
      <protection locked="0"/>
    </xf>
    <xf numFmtId="0" fontId="0" fillId="2" borderId="7" xfId="12" applyNumberFormat="1" applyFont="1" applyFill="1" applyBorder="1" applyAlignment="1" applyProtection="1">
      <alignment horizontal="center" vertical="center"/>
      <protection locked="0"/>
    </xf>
    <xf numFmtId="0" fontId="12" fillId="0" borderId="2" xfId="12" applyNumberFormat="1" applyFont="1" applyFill="1" applyBorder="1" applyAlignment="1" applyProtection="1">
      <alignment horizontal="center" vertical="center"/>
      <protection locked="0"/>
    </xf>
    <xf numFmtId="0" fontId="12" fillId="0" borderId="42" xfId="12" applyNumberFormat="1" applyFont="1" applyFill="1" applyBorder="1" applyAlignment="1" applyProtection="1">
      <alignment horizontal="center" vertical="center"/>
      <protection locked="0"/>
    </xf>
    <xf numFmtId="0" fontId="20" fillId="2" borderId="16" xfId="12" applyNumberFormat="1" applyFont="1" applyFill="1" applyBorder="1" applyAlignment="1">
      <alignment horizontal="center" vertical="center"/>
    </xf>
    <xf numFmtId="0" fontId="5" fillId="2" borderId="41" xfId="12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vertical="center"/>
    </xf>
    <xf numFmtId="0" fontId="7" fillId="2" borderId="17" xfId="12" applyNumberFormat="1" applyFont="1" applyFill="1" applyBorder="1" applyAlignment="1">
      <alignment horizontal="center" vertical="center"/>
    </xf>
    <xf numFmtId="0" fontId="7" fillId="2" borderId="1" xfId="12" applyNumberFormat="1" applyFont="1" applyFill="1" applyBorder="1" applyAlignment="1">
      <alignment horizontal="center" vertical="center"/>
    </xf>
    <xf numFmtId="0" fontId="7" fillId="2" borderId="20" xfId="12" applyNumberFormat="1" applyFont="1" applyFill="1" applyBorder="1" applyAlignment="1">
      <alignment horizontal="center" vertical="center"/>
    </xf>
    <xf numFmtId="0" fontId="7" fillId="0" borderId="31" xfId="12" applyNumberFormat="1" applyFont="1" applyBorder="1" applyAlignment="1">
      <alignment horizontal="center" vertical="center"/>
    </xf>
    <xf numFmtId="0" fontId="4" fillId="18" borderId="27" xfId="0" applyFont="1" applyFill="1" applyBorder="1"/>
    <xf numFmtId="0" fontId="4" fillId="18" borderId="29" xfId="0" applyFont="1" applyFill="1" applyBorder="1"/>
    <xf numFmtId="0" fontId="4" fillId="18" borderId="49" xfId="0" applyFont="1" applyFill="1" applyBorder="1" applyAlignment="1">
      <alignment horizontal="center"/>
    </xf>
    <xf numFmtId="0" fontId="0" fillId="18" borderId="50" xfId="0" applyFill="1" applyBorder="1"/>
    <xf numFmtId="0" fontId="2" fillId="18" borderId="51" xfId="0" applyFont="1" applyFill="1" applyBorder="1"/>
    <xf numFmtId="176" fontId="0" fillId="18" borderId="52" xfId="0" applyNumberFormat="1" applyFill="1" applyBorder="1"/>
    <xf numFmtId="0" fontId="2" fillId="18" borderId="53" xfId="0" applyFont="1" applyFill="1" applyBorder="1"/>
    <xf numFmtId="176" fontId="0" fillId="18" borderId="54" xfId="0" applyNumberFormat="1" applyFill="1" applyBorder="1"/>
    <xf numFmtId="0" fontId="0" fillId="18" borderId="0" xfId="0" applyFill="1"/>
    <xf numFmtId="0" fontId="2" fillId="18" borderId="55" xfId="0" applyFont="1" applyFill="1" applyBorder="1"/>
    <xf numFmtId="176" fontId="0" fillId="18" borderId="24" xfId="0" applyNumberFormat="1" applyFill="1" applyBorder="1"/>
    <xf numFmtId="0" fontId="2" fillId="18" borderId="0" xfId="0" applyFont="1" applyFill="1"/>
    <xf numFmtId="176" fontId="0" fillId="18" borderId="0" xfId="0" applyNumberFormat="1" applyFill="1"/>
    <xf numFmtId="0" fontId="0" fillId="18" borderId="42" xfId="12" applyNumberFormat="1" applyFont="1" applyFill="1" applyBorder="1" applyAlignment="1">
      <alignment horizontal="center" vertical="center"/>
    </xf>
    <xf numFmtId="175" fontId="7" fillId="18" borderId="21" xfId="12" applyNumberFormat="1" applyFont="1" applyFill="1" applyBorder="1" applyAlignment="1">
      <alignment vertical="center"/>
    </xf>
    <xf numFmtId="177" fontId="0" fillId="2" borderId="2" xfId="1" applyNumberFormat="1" applyFont="1" applyFill="1" applyBorder="1" applyAlignment="1" applyProtection="1">
      <alignment horizontal="center" vertical="center"/>
      <protection locked="0"/>
    </xf>
    <xf numFmtId="9" fontId="2" fillId="0" borderId="0" xfId="0" applyNumberFormat="1" applyFont="1" applyAlignment="1">
      <alignment horizontal="center" wrapText="1"/>
    </xf>
    <xf numFmtId="176" fontId="0" fillId="0" borderId="48" xfId="12" applyNumberFormat="1" applyFont="1" applyBorder="1"/>
    <xf numFmtId="176" fontId="2" fillId="0" borderId="48" xfId="12" applyNumberFormat="1" applyFont="1" applyBorder="1"/>
    <xf numFmtId="177" fontId="5" fillId="2" borderId="2" xfId="1" applyNumberFormat="1" applyFont="1" applyFill="1" applyBorder="1" applyAlignment="1" applyProtection="1">
      <alignment horizontal="center" vertical="center"/>
      <protection locked="0"/>
    </xf>
    <xf numFmtId="164" fontId="0" fillId="2" borderId="0" xfId="12" applyFont="1" applyFill="1" applyAlignment="1">
      <alignment vertical="center"/>
    </xf>
    <xf numFmtId="0" fontId="0" fillId="2" borderId="48" xfId="0" applyFill="1" applyBorder="1" applyAlignment="1" applyProtection="1">
      <alignment horizontal="left" vertical="center"/>
      <protection locked="0"/>
    </xf>
    <xf numFmtId="164" fontId="0" fillId="2" borderId="48" xfId="12" applyFont="1" applyFill="1" applyBorder="1" applyAlignment="1">
      <alignment vertical="center"/>
    </xf>
    <xf numFmtId="0" fontId="2" fillId="2" borderId="48" xfId="0" applyFont="1" applyFill="1" applyBorder="1" applyAlignment="1" applyProtection="1">
      <alignment horizontal="left" vertical="center"/>
      <protection locked="0"/>
    </xf>
    <xf numFmtId="17" fontId="4" fillId="6" borderId="47" xfId="0" applyNumberFormat="1" applyFont="1" applyFill="1" applyBorder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175" fontId="0" fillId="4" borderId="44" xfId="12" applyNumberFormat="1" applyFont="1" applyFill="1" applyBorder="1"/>
    <xf numFmtId="0" fontId="4" fillId="6" borderId="4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4" fillId="4" borderId="48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/>
    </xf>
    <xf numFmtId="0" fontId="4" fillId="4" borderId="48" xfId="0" applyFont="1" applyFill="1" applyBorder="1" applyAlignment="1">
      <alignment vertical="center"/>
    </xf>
    <xf numFmtId="0" fontId="0" fillId="4" borderId="48" xfId="0" applyFill="1" applyBorder="1" applyAlignment="1">
      <alignment vertical="center"/>
    </xf>
    <xf numFmtId="0" fontId="2" fillId="4" borderId="48" xfId="0" applyFont="1" applyFill="1" applyBorder="1" applyAlignment="1">
      <alignment horizontal="center" vertical="center"/>
    </xf>
    <xf numFmtId="176" fontId="0" fillId="4" borderId="48" xfId="0" applyNumberFormat="1" applyFill="1" applyBorder="1" applyAlignment="1">
      <alignment vertical="center"/>
    </xf>
    <xf numFmtId="175" fontId="0" fillId="4" borderId="48" xfId="12" applyNumberFormat="1" applyFont="1" applyFill="1" applyBorder="1" applyAlignment="1">
      <alignment vertical="center"/>
    </xf>
    <xf numFmtId="0" fontId="4" fillId="0" borderId="48" xfId="0" applyFont="1" applyBorder="1" applyAlignment="1">
      <alignment horizontal="center" vertical="center"/>
    </xf>
    <xf numFmtId="175" fontId="0" fillId="2" borderId="42" xfId="12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vertical="center"/>
    </xf>
    <xf numFmtId="3" fontId="0" fillId="4" borderId="38" xfId="0" applyNumberFormat="1" applyFill="1" applyBorder="1" applyAlignment="1">
      <alignment vertical="center"/>
    </xf>
    <xf numFmtId="3" fontId="11" fillId="20" borderId="0" xfId="0" applyNumberFormat="1" applyFont="1" applyFill="1" applyAlignment="1" applyProtection="1">
      <alignment horizontal="center" vertical="center"/>
      <protection locked="0"/>
    </xf>
    <xf numFmtId="3" fontId="0" fillId="4" borderId="12" xfId="0" applyNumberFormat="1" applyFill="1" applyBorder="1" applyAlignment="1">
      <alignment vertical="center"/>
    </xf>
    <xf numFmtId="3" fontId="0" fillId="4" borderId="7" xfId="0" applyNumberFormat="1" applyFill="1" applyBorder="1" applyAlignment="1">
      <alignment vertical="center"/>
    </xf>
    <xf numFmtId="176" fontId="0" fillId="4" borderId="45" xfId="0" applyNumberFormat="1" applyFill="1" applyBorder="1" applyAlignment="1">
      <alignment vertical="center"/>
    </xf>
    <xf numFmtId="0" fontId="2" fillId="4" borderId="0" xfId="0" applyFont="1" applyFill="1" applyAlignment="1">
      <alignment vertical="center"/>
    </xf>
    <xf numFmtId="0" fontId="20" fillId="4" borderId="0" xfId="0" applyFont="1" applyFill="1" applyAlignment="1">
      <alignment vertical="center"/>
    </xf>
    <xf numFmtId="0" fontId="5" fillId="4" borderId="38" xfId="0" applyFont="1" applyFill="1" applyBorder="1" applyAlignment="1">
      <alignment vertical="center"/>
    </xf>
    <xf numFmtId="3" fontId="0" fillId="4" borderId="2" xfId="0" applyNumberFormat="1" applyFill="1" applyBorder="1" applyAlignment="1" applyProtection="1">
      <alignment vertical="center"/>
      <protection locked="0"/>
    </xf>
    <xf numFmtId="0" fontId="4" fillId="4" borderId="2" xfId="0" applyFont="1" applyFill="1" applyBorder="1" applyAlignment="1" applyProtection="1">
      <alignment horizontal="left" vertical="center"/>
      <protection locked="0"/>
    </xf>
    <xf numFmtId="1" fontId="2" fillId="4" borderId="2" xfId="1" applyNumberFormat="1" applyFont="1" applyFill="1" applyBorder="1" applyAlignment="1" applyProtection="1">
      <alignment horizontal="center" vertical="center"/>
      <protection locked="0"/>
    </xf>
    <xf numFmtId="3" fontId="20" fillId="4" borderId="38" xfId="0" applyNumberFormat="1" applyFont="1" applyFill="1" applyBorder="1" applyAlignment="1">
      <alignment vertical="center"/>
    </xf>
    <xf numFmtId="3" fontId="11" fillId="4" borderId="0" xfId="0" applyNumberFormat="1" applyFont="1" applyFill="1" applyAlignment="1" applyProtection="1">
      <alignment horizontal="center" vertical="center"/>
      <protection locked="0"/>
    </xf>
    <xf numFmtId="0" fontId="0" fillId="4" borderId="13" xfId="0" applyFill="1" applyBorder="1" applyAlignment="1">
      <alignment horizontal="center" vertical="center"/>
    </xf>
    <xf numFmtId="175" fontId="20" fillId="4" borderId="11" xfId="12" applyNumberFormat="1" applyFont="1" applyFill="1" applyBorder="1" applyAlignment="1">
      <alignment vertical="center"/>
    </xf>
    <xf numFmtId="0" fontId="20" fillId="4" borderId="11" xfId="12" applyNumberFormat="1" applyFont="1" applyFill="1" applyBorder="1" applyAlignment="1">
      <alignment horizontal="center" vertical="center"/>
    </xf>
    <xf numFmtId="175" fontId="20" fillId="4" borderId="9" xfId="12" applyNumberFormat="1" applyFont="1" applyFill="1" applyBorder="1" applyAlignment="1">
      <alignment vertical="center"/>
    </xf>
    <xf numFmtId="3" fontId="20" fillId="4" borderId="13" xfId="0" applyNumberFormat="1" applyFont="1" applyFill="1" applyBorder="1" applyAlignment="1">
      <alignment vertical="center"/>
    </xf>
    <xf numFmtId="3" fontId="20" fillId="4" borderId="16" xfId="0" applyNumberFormat="1" applyFont="1" applyFill="1" applyBorder="1" applyAlignment="1">
      <alignment vertical="center"/>
    </xf>
    <xf numFmtId="175" fontId="5" fillId="4" borderId="6" xfId="12" applyNumberFormat="1" applyFont="1" applyFill="1" applyBorder="1" applyAlignment="1" applyProtection="1">
      <alignment vertical="center"/>
      <protection locked="0"/>
    </xf>
    <xf numFmtId="0" fontId="25" fillId="4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Alignment="1" applyProtection="1">
      <alignment horizontal="left" vertical="center"/>
      <protection locked="0"/>
    </xf>
    <xf numFmtId="0" fontId="20" fillId="2" borderId="47" xfId="0" applyFont="1" applyFill="1" applyBorder="1" applyAlignment="1">
      <alignment horizontal="center" vertical="center"/>
    </xf>
    <xf numFmtId="3" fontId="0" fillId="4" borderId="47" xfId="0" applyNumberFormat="1" applyFill="1" applyBorder="1" applyAlignment="1">
      <alignment vertical="center"/>
    </xf>
    <xf numFmtId="0" fontId="0" fillId="4" borderId="47" xfId="0" applyFill="1" applyBorder="1" applyAlignment="1">
      <alignment vertical="center"/>
    </xf>
    <xf numFmtId="9" fontId="20" fillId="2" borderId="47" xfId="0" applyNumberFormat="1" applyFont="1" applyFill="1" applyBorder="1" applyAlignment="1">
      <alignment horizontal="center" vertical="center"/>
    </xf>
    <xf numFmtId="0" fontId="0" fillId="4" borderId="38" xfId="0" applyFill="1" applyBorder="1" applyAlignment="1">
      <alignment vertical="center"/>
    </xf>
    <xf numFmtId="175" fontId="0" fillId="4" borderId="47" xfId="12" applyNumberFormat="1" applyFont="1" applyFill="1" applyBorder="1" applyAlignment="1">
      <alignment vertical="center"/>
    </xf>
    <xf numFmtId="175" fontId="2" fillId="4" borderId="47" xfId="12" applyNumberFormat="1" applyFont="1" applyFill="1" applyBorder="1" applyAlignment="1">
      <alignment vertical="center"/>
    </xf>
    <xf numFmtId="3" fontId="0" fillId="4" borderId="14" xfId="0" applyNumberFormat="1" applyFill="1" applyBorder="1" applyAlignment="1">
      <alignment vertical="center"/>
    </xf>
    <xf numFmtId="3" fontId="0" fillId="4" borderId="5" xfId="0" applyNumberFormat="1" applyFill="1" applyBorder="1" applyAlignment="1">
      <alignment vertical="center"/>
    </xf>
    <xf numFmtId="0" fontId="0" fillId="4" borderId="3" xfId="0" applyFill="1" applyBorder="1" applyAlignment="1" applyProtection="1">
      <alignment horizontal="right" vertical="center"/>
      <protection locked="0"/>
    </xf>
    <xf numFmtId="0" fontId="4" fillId="4" borderId="38" xfId="0" applyFont="1" applyFill="1" applyBorder="1" applyAlignment="1">
      <alignment vertical="center"/>
    </xf>
    <xf numFmtId="4" fontId="0" fillId="4" borderId="2" xfId="0" applyNumberFormat="1" applyFill="1" applyBorder="1" applyAlignment="1" applyProtection="1">
      <alignment vertical="center"/>
      <protection locked="0"/>
    </xf>
    <xf numFmtId="166" fontId="0" fillId="4" borderId="12" xfId="1" applyFont="1" applyFill="1" applyBorder="1" applyAlignment="1" applyProtection="1">
      <alignment horizontal="center" vertical="center"/>
      <protection locked="0"/>
    </xf>
    <xf numFmtId="175" fontId="0" fillId="4" borderId="0" xfId="12" applyNumberFormat="1" applyFont="1" applyFill="1" applyBorder="1" applyAlignment="1" applyProtection="1">
      <alignment horizontal="right" vertical="center"/>
      <protection locked="0"/>
    </xf>
    <xf numFmtId="0" fontId="0" fillId="4" borderId="7" xfId="12" applyNumberFormat="1" applyFont="1" applyFill="1" applyBorder="1" applyAlignment="1" applyProtection="1">
      <alignment horizontal="center" vertical="center"/>
      <protection locked="0"/>
    </xf>
    <xf numFmtId="175" fontId="0" fillId="4" borderId="0" xfId="12" applyNumberFormat="1" applyFont="1" applyFill="1" applyBorder="1" applyAlignment="1" applyProtection="1">
      <alignment vertical="center"/>
      <protection locked="0"/>
    </xf>
    <xf numFmtId="3" fontId="0" fillId="4" borderId="13" xfId="0" applyNumberFormat="1" applyFill="1" applyBorder="1" applyAlignment="1">
      <alignment vertical="center"/>
    </xf>
    <xf numFmtId="3" fontId="0" fillId="4" borderId="16" xfId="0" applyNumberFormat="1" applyFill="1" applyBorder="1" applyAlignment="1">
      <alignment vertical="center"/>
    </xf>
    <xf numFmtId="175" fontId="25" fillId="4" borderId="2" xfId="12" applyNumberFormat="1" applyFont="1" applyFill="1" applyBorder="1" applyAlignment="1" applyProtection="1">
      <alignment horizontal="right" vertical="center"/>
      <protection locked="0"/>
    </xf>
    <xf numFmtId="1" fontId="25" fillId="4" borderId="2" xfId="1" applyNumberFormat="1" applyFont="1" applyFill="1" applyBorder="1" applyAlignment="1" applyProtection="1">
      <alignment horizontal="center" vertical="center"/>
      <protection locked="0"/>
    </xf>
    <xf numFmtId="175" fontId="25" fillId="4" borderId="42" xfId="12" applyNumberFormat="1" applyFont="1" applyFill="1" applyBorder="1" applyAlignment="1" applyProtection="1">
      <alignment horizontal="right" vertical="center"/>
      <protection locked="0"/>
    </xf>
    <xf numFmtId="0" fontId="0" fillId="4" borderId="42" xfId="12" applyNumberFormat="1" applyFont="1" applyFill="1" applyBorder="1" applyAlignment="1" applyProtection="1">
      <alignment horizontal="center" vertical="center"/>
      <protection locked="0"/>
    </xf>
    <xf numFmtId="175" fontId="0" fillId="4" borderId="5" xfId="12" applyNumberFormat="1" applyFont="1" applyFill="1" applyBorder="1" applyAlignment="1" applyProtection="1">
      <alignment vertical="center"/>
      <protection locked="0"/>
    </xf>
    <xf numFmtId="0" fontId="0" fillId="4" borderId="5" xfId="12" applyNumberFormat="1" applyFont="1" applyFill="1" applyBorder="1" applyAlignment="1" applyProtection="1">
      <alignment horizontal="center" vertical="center"/>
      <protection locked="0"/>
    </xf>
    <xf numFmtId="175" fontId="0" fillId="4" borderId="1" xfId="12" applyNumberFormat="1" applyFont="1" applyFill="1" applyBorder="1" applyAlignment="1" applyProtection="1">
      <alignment vertical="center"/>
      <protection locked="0"/>
    </xf>
    <xf numFmtId="166" fontId="25" fillId="4" borderId="2" xfId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left" vertical="center"/>
      <protection locked="0"/>
    </xf>
    <xf numFmtId="0" fontId="5" fillId="4" borderId="7" xfId="12" applyNumberFormat="1" applyFont="1" applyFill="1" applyBorder="1" applyAlignment="1" applyProtection="1">
      <alignment horizontal="center" vertical="center"/>
      <protection locked="0"/>
    </xf>
    <xf numFmtId="0" fontId="0" fillId="4" borderId="43" xfId="0" applyFill="1" applyBorder="1" applyAlignment="1" applyProtection="1">
      <alignment horizontal="left" vertical="center"/>
      <protection locked="0"/>
    </xf>
    <xf numFmtId="166" fontId="5" fillId="4" borderId="13" xfId="1" applyFont="1" applyFill="1" applyBorder="1" applyAlignment="1" applyProtection="1">
      <alignment horizontal="center" vertical="center"/>
      <protection locked="0"/>
    </xf>
    <xf numFmtId="175" fontId="5" fillId="4" borderId="11" xfId="12" applyNumberFormat="1" applyFont="1" applyFill="1" applyBorder="1" applyAlignment="1" applyProtection="1">
      <alignment vertical="center"/>
      <protection locked="0"/>
    </xf>
    <xf numFmtId="0" fontId="5" fillId="4" borderId="16" xfId="12" applyNumberFormat="1" applyFont="1" applyFill="1" applyBorder="1" applyAlignment="1" applyProtection="1">
      <alignment horizontal="center" vertical="center"/>
      <protection locked="0"/>
    </xf>
    <xf numFmtId="175" fontId="5" fillId="4" borderId="9" xfId="12" applyNumberFormat="1" applyFont="1" applyFill="1" applyBorder="1" applyAlignment="1" applyProtection="1">
      <alignment vertical="center"/>
      <protection locked="0"/>
    </xf>
    <xf numFmtId="166" fontId="0" fillId="4" borderId="14" xfId="1" applyFont="1" applyFill="1" applyBorder="1" applyAlignment="1" applyProtection="1">
      <alignment horizontal="center" vertical="center"/>
      <protection locked="0"/>
    </xf>
    <xf numFmtId="175" fontId="0" fillId="4" borderId="15" xfId="12" applyNumberFormat="1" applyFont="1" applyFill="1" applyBorder="1" applyAlignment="1" applyProtection="1">
      <alignment vertical="center"/>
      <protection locked="0"/>
    </xf>
    <xf numFmtId="175" fontId="5" fillId="4" borderId="10" xfId="12" applyNumberFormat="1" applyFont="1" applyFill="1" applyBorder="1" applyAlignment="1" applyProtection="1">
      <alignment vertical="center"/>
      <protection locked="0"/>
    </xf>
    <xf numFmtId="175" fontId="12" fillId="4" borderId="2" xfId="12" applyNumberFormat="1" applyFont="1" applyFill="1" applyBorder="1" applyAlignment="1" applyProtection="1">
      <alignment vertical="center"/>
      <protection locked="0"/>
    </xf>
    <xf numFmtId="0" fontId="19" fillId="4" borderId="0" xfId="0" applyFont="1" applyFill="1" applyAlignment="1">
      <alignment horizontal="center" vertical="center"/>
    </xf>
    <xf numFmtId="166" fontId="5" fillId="4" borderId="4" xfId="1" applyFont="1" applyFill="1" applyBorder="1" applyAlignment="1" applyProtection="1">
      <alignment horizontal="center" vertical="center"/>
      <protection locked="0"/>
    </xf>
    <xf numFmtId="3" fontId="20" fillId="4" borderId="4" xfId="0" applyNumberFormat="1" applyFont="1" applyFill="1" applyBorder="1" applyAlignment="1">
      <alignment vertical="center"/>
    </xf>
    <xf numFmtId="3" fontId="20" fillId="4" borderId="6" xfId="0" applyNumberFormat="1" applyFont="1" applyFill="1" applyBorder="1" applyAlignment="1">
      <alignment vertical="center"/>
    </xf>
    <xf numFmtId="0" fontId="12" fillId="4" borderId="2" xfId="12" applyNumberFormat="1" applyFont="1" applyFill="1" applyBorder="1" applyAlignment="1" applyProtection="1">
      <alignment horizontal="center" vertical="center"/>
      <protection locked="0"/>
    </xf>
    <xf numFmtId="175" fontId="12" fillId="4" borderId="3" xfId="12" applyNumberFormat="1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 applyProtection="1">
      <alignment horizontal="right" vertical="center"/>
      <protection locked="0"/>
    </xf>
    <xf numFmtId="2" fontId="5" fillId="4" borderId="0" xfId="0" applyNumberFormat="1" applyFont="1" applyFill="1" applyAlignment="1">
      <alignment vertical="center"/>
    </xf>
    <xf numFmtId="3" fontId="0" fillId="4" borderId="4" xfId="0" applyNumberFormat="1" applyFill="1" applyBorder="1" applyAlignment="1">
      <alignment vertical="center"/>
    </xf>
    <xf numFmtId="3" fontId="0" fillId="4" borderId="6" xfId="0" applyNumberFormat="1" applyFill="1" applyBorder="1" applyAlignment="1">
      <alignment vertical="center"/>
    </xf>
    <xf numFmtId="0" fontId="25" fillId="4" borderId="3" xfId="0" applyFont="1" applyFill="1" applyBorder="1" applyAlignment="1">
      <alignment horizontal="right" vertical="center"/>
    </xf>
    <xf numFmtId="3" fontId="3" fillId="4" borderId="38" xfId="0" applyNumberFormat="1" applyFont="1" applyFill="1" applyBorder="1" applyAlignment="1">
      <alignment vertical="center"/>
    </xf>
    <xf numFmtId="3" fontId="3" fillId="4" borderId="30" xfId="0" applyNumberFormat="1" applyFont="1" applyFill="1" applyBorder="1" applyAlignment="1" applyProtection="1">
      <alignment horizontal="right" vertical="center"/>
      <protection hidden="1"/>
    </xf>
    <xf numFmtId="0" fontId="3" fillId="4" borderId="0" xfId="0" applyFont="1" applyFill="1" applyAlignment="1">
      <alignment vertical="center"/>
    </xf>
    <xf numFmtId="0" fontId="25" fillId="4" borderId="12" xfId="0" applyFont="1" applyFill="1" applyBorder="1" applyAlignment="1" applyProtection="1">
      <alignment horizontal="right" vertical="center"/>
      <protection locked="0"/>
    </xf>
    <xf numFmtId="3" fontId="5" fillId="4" borderId="3" xfId="0" applyNumberFormat="1" applyFont="1" applyFill="1" applyBorder="1" applyAlignment="1" applyProtection="1">
      <alignment horizontal="center" vertical="center"/>
      <protection locked="0"/>
    </xf>
    <xf numFmtId="0" fontId="5" fillId="4" borderId="3" xfId="12" applyNumberFormat="1" applyFon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right" vertical="center"/>
    </xf>
    <xf numFmtId="166" fontId="0" fillId="4" borderId="3" xfId="1" applyFont="1" applyFill="1" applyBorder="1" applyAlignment="1" applyProtection="1">
      <alignment horizontal="center" vertical="center"/>
      <protection locked="0"/>
    </xf>
    <xf numFmtId="0" fontId="25" fillId="4" borderId="3" xfId="0" applyFont="1" applyFill="1" applyBorder="1" applyAlignment="1" applyProtection="1">
      <alignment horizontal="right" vertical="center"/>
      <protection locked="0"/>
    </xf>
    <xf numFmtId="166" fontId="5" fillId="4" borderId="2" xfId="1" applyFont="1" applyFill="1" applyBorder="1" applyAlignment="1" applyProtection="1">
      <alignment horizontal="center" vertical="center"/>
      <protection hidden="1"/>
    </xf>
    <xf numFmtId="166" fontId="0" fillId="4" borderId="2" xfId="1" applyFont="1" applyFill="1" applyBorder="1" applyAlignment="1" applyProtection="1">
      <alignment horizontal="center" vertical="center"/>
      <protection hidden="1"/>
    </xf>
    <xf numFmtId="166" fontId="25" fillId="4" borderId="42" xfId="1" applyFont="1" applyFill="1" applyBorder="1" applyAlignment="1" applyProtection="1">
      <alignment horizontal="center" vertical="center"/>
      <protection hidden="1"/>
    </xf>
    <xf numFmtId="0" fontId="5" fillId="4" borderId="42" xfId="12" applyNumberFormat="1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vertical="center"/>
      <protection locked="0"/>
    </xf>
    <xf numFmtId="178" fontId="3" fillId="4" borderId="29" xfId="12" applyNumberFormat="1" applyFont="1" applyFill="1" applyBorder="1" applyAlignment="1" applyProtection="1">
      <alignment horizontal="center" vertical="center"/>
      <protection hidden="1"/>
    </xf>
    <xf numFmtId="175" fontId="3" fillId="4" borderId="0" xfId="12" applyNumberFormat="1" applyFont="1" applyFill="1" applyBorder="1" applyAlignment="1" applyProtection="1">
      <alignment horizontal="center" vertical="center"/>
      <protection hidden="1"/>
    </xf>
    <xf numFmtId="3" fontId="3" fillId="4" borderId="0" xfId="0" applyNumberFormat="1" applyFont="1" applyFill="1" applyBorder="1" applyAlignment="1" applyProtection="1">
      <alignment horizontal="center" vertical="center"/>
      <protection hidden="1"/>
    </xf>
    <xf numFmtId="3" fontId="3" fillId="4" borderId="0" xfId="0" applyNumberFormat="1" applyFont="1" applyFill="1" applyBorder="1" applyAlignment="1" applyProtection="1">
      <alignment horizontal="right" vertical="center"/>
      <protection hidden="1"/>
    </xf>
    <xf numFmtId="174" fontId="5" fillId="4" borderId="0" xfId="0" applyNumberFormat="1" applyFont="1" applyFill="1" applyBorder="1" applyAlignment="1">
      <alignment vertical="center"/>
    </xf>
    <xf numFmtId="0" fontId="5" fillId="4" borderId="0" xfId="0" applyFont="1" applyFill="1" applyBorder="1" applyAlignment="1">
      <alignment vertical="center"/>
    </xf>
    <xf numFmtId="0" fontId="3" fillId="0" borderId="27" xfId="0" applyFont="1" applyBorder="1" applyAlignment="1">
      <alignment horizontal="left" vertical="top"/>
    </xf>
    <xf numFmtId="0" fontId="3" fillId="4" borderId="28" xfId="12" applyNumberFormat="1" applyFont="1" applyFill="1" applyBorder="1" applyAlignment="1" applyProtection="1">
      <alignment horizontal="left" vertical="top"/>
      <protection locked="0"/>
    </xf>
    <xf numFmtId="178" fontId="3" fillId="4" borderId="22" xfId="12" applyNumberFormat="1" applyFont="1" applyFill="1" applyBorder="1" applyAlignment="1" applyProtection="1">
      <alignment horizontal="center" vertical="center"/>
      <protection hidden="1"/>
    </xf>
    <xf numFmtId="175" fontId="3" fillId="5" borderId="4" xfId="12" applyNumberFormat="1" applyFont="1" applyFill="1" applyBorder="1" applyAlignment="1" applyProtection="1">
      <alignment horizontal="center" vertical="center"/>
      <protection locked="0"/>
    </xf>
    <xf numFmtId="175" fontId="3" fillId="5" borderId="10" xfId="12" applyNumberFormat="1" applyFont="1" applyFill="1" applyBorder="1" applyAlignment="1" applyProtection="1">
      <alignment horizontal="center" vertical="center"/>
      <protection locked="0"/>
    </xf>
    <xf numFmtId="0" fontId="25" fillId="4" borderId="1" xfId="0" applyFont="1" applyFill="1" applyBorder="1" applyAlignment="1" applyProtection="1">
      <alignment horizontal="left" vertical="center" wrapText="1"/>
      <protection locked="0"/>
    </xf>
    <xf numFmtId="0" fontId="0" fillId="4" borderId="1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0" fontId="22" fillId="2" borderId="32" xfId="0" applyFont="1" applyFill="1" applyBorder="1" applyAlignment="1">
      <alignment horizontal="center" vertical="center"/>
    </xf>
    <xf numFmtId="175" fontId="3" fillId="5" borderId="2" xfId="12" applyNumberFormat="1" applyFont="1" applyFill="1" applyBorder="1" applyAlignment="1" applyProtection="1">
      <alignment horizontal="center" vertical="center"/>
      <protection locked="0"/>
    </xf>
    <xf numFmtId="175" fontId="3" fillId="5" borderId="14" xfId="12" applyNumberFormat="1" applyFont="1" applyFill="1" applyBorder="1" applyAlignment="1" applyProtection="1">
      <alignment horizontal="center" vertical="center"/>
      <protection locked="0"/>
    </xf>
    <xf numFmtId="175" fontId="3" fillId="5" borderId="15" xfId="12" applyNumberFormat="1" applyFont="1" applyFill="1" applyBorder="1" applyAlignment="1" applyProtection="1">
      <alignment horizontal="center" vertical="center"/>
      <protection locked="0"/>
    </xf>
    <xf numFmtId="175" fontId="3" fillId="5" borderId="27" xfId="12" applyNumberFormat="1" applyFont="1" applyFill="1" applyBorder="1" applyAlignment="1" applyProtection="1">
      <alignment horizontal="center" vertical="center"/>
      <protection locked="0"/>
    </xf>
    <xf numFmtId="175" fontId="3" fillId="5" borderId="29" xfId="12" applyNumberFormat="1" applyFont="1" applyFill="1" applyBorder="1" applyAlignment="1" applyProtection="1">
      <alignment horizontal="center" vertical="center"/>
      <protection locked="0"/>
    </xf>
    <xf numFmtId="175" fontId="3" fillId="5" borderId="27" xfId="12" applyNumberFormat="1" applyFont="1" applyFill="1" applyBorder="1" applyAlignment="1" applyProtection="1">
      <alignment horizontal="left" vertical="center"/>
      <protection locked="0"/>
    </xf>
    <xf numFmtId="175" fontId="3" fillId="5" borderId="29" xfId="12" applyNumberFormat="1" applyFont="1" applyFill="1" applyBorder="1" applyAlignment="1" applyProtection="1">
      <alignment horizontal="left" vertical="center"/>
      <protection locked="0"/>
    </xf>
    <xf numFmtId="0" fontId="4" fillId="19" borderId="33" xfId="0" applyFont="1" applyFill="1" applyBorder="1" applyAlignment="1" applyProtection="1">
      <alignment horizontal="center" vertical="center" wrapText="1"/>
      <protection locked="0"/>
    </xf>
    <xf numFmtId="0" fontId="4" fillId="19" borderId="34" xfId="0" applyFont="1" applyFill="1" applyBorder="1" applyAlignment="1" applyProtection="1">
      <alignment horizontal="center" vertical="center" wrapText="1"/>
      <protection locked="0"/>
    </xf>
    <xf numFmtId="0" fontId="4" fillId="19" borderId="35" xfId="0" applyFont="1" applyFill="1" applyBorder="1" applyAlignment="1" applyProtection="1">
      <alignment horizontal="center" vertical="center" wrapText="1"/>
      <protection locked="0"/>
    </xf>
    <xf numFmtId="175" fontId="3" fillId="5" borderId="13" xfId="12" applyNumberFormat="1" applyFont="1" applyFill="1" applyBorder="1" applyAlignment="1" applyProtection="1">
      <alignment horizontal="center" vertical="center"/>
      <protection locked="0"/>
    </xf>
    <xf numFmtId="175" fontId="3" fillId="4" borderId="4" xfId="12" applyNumberFormat="1" applyFont="1" applyFill="1" applyBorder="1" applyAlignment="1" applyProtection="1">
      <alignment horizontal="center" vertical="center"/>
      <protection locked="0"/>
    </xf>
    <xf numFmtId="175" fontId="3" fillId="4" borderId="10" xfId="12" applyNumberFormat="1" applyFont="1" applyFill="1" applyBorder="1" applyAlignment="1" applyProtection="1">
      <alignment horizontal="center" vertical="center"/>
      <protection locked="0"/>
    </xf>
    <xf numFmtId="175" fontId="27" fillId="4" borderId="0" xfId="12" applyNumberFormat="1" applyFont="1" applyFill="1" applyBorder="1" applyAlignment="1" applyProtection="1">
      <alignment horizontal="center" vertical="center"/>
      <protection locked="0"/>
    </xf>
    <xf numFmtId="175" fontId="3" fillId="4" borderId="0" xfId="12" applyNumberFormat="1" applyFont="1" applyFill="1" applyBorder="1" applyAlignment="1" applyProtection="1">
      <alignment horizontal="center" vertical="center"/>
      <protection locked="0"/>
    </xf>
  </cellXfs>
  <cellStyles count="15">
    <cellStyle name="Hipervínculo" xfId="6" builtinId="8" hidden="1"/>
    <cellStyle name="Hipervínculo" xfId="8" builtinId="8" hidden="1"/>
    <cellStyle name="Hipervínculo visitado" xfId="7" builtinId="9" hidden="1"/>
    <cellStyle name="Hipervínculo visitado" xfId="9" builtinId="9" hidden="1"/>
    <cellStyle name="Millares" xfId="1" builtinId="3"/>
    <cellStyle name="Moneda" xfId="12" builtinId="4"/>
    <cellStyle name="Moneda 2" xfId="4"/>
    <cellStyle name="Moneda 2 3" xfId="11"/>
    <cellStyle name="Normal" xfId="0" builtinId="0"/>
    <cellStyle name="Normal 2" xfId="2"/>
    <cellStyle name="Normal 2 2" xfId="10"/>
    <cellStyle name="Normal 2 3" xfId="14"/>
    <cellStyle name="Normal 3" xfId="3"/>
    <cellStyle name="Porcentual" xfId="13" builtinId="5"/>
    <cellStyle name="Porcentual 2" xfId="5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048576"/>
  <sheetViews>
    <sheetView showGridLines="0" tabSelected="1" topLeftCell="D1" zoomScaleNormal="100" zoomScaleSheetLayoutView="36" zoomScalePageLayoutView="73" workbookViewId="0">
      <selection activeCell="D3" sqref="D3:D5"/>
    </sheetView>
  </sheetViews>
  <sheetFormatPr baseColWidth="10" defaultColWidth="11.42578125" defaultRowHeight="12.75"/>
  <cols>
    <col min="1" max="1" width="0.7109375" style="10" customWidth="1"/>
    <col min="2" max="2" width="1.42578125" style="10" customWidth="1"/>
    <col min="3" max="3" width="6" style="15" customWidth="1"/>
    <col min="4" max="4" width="61.85546875" style="5" customWidth="1"/>
    <col min="5" max="5" width="14.28515625" style="378" customWidth="1"/>
    <col min="6" max="6" width="15.28515625" style="289" customWidth="1"/>
    <col min="7" max="7" width="12.7109375" style="447" customWidth="1"/>
    <col min="8" max="8" width="21" style="289" customWidth="1"/>
    <col min="9" max="10" width="21" style="16" customWidth="1"/>
    <col min="11" max="11" width="6.28515625" style="16" customWidth="1"/>
    <col min="12" max="12" width="2.7109375" style="16" customWidth="1"/>
    <col min="13" max="13" width="15.140625" style="10" bestFit="1" customWidth="1"/>
    <col min="14" max="14" width="14.42578125" style="10" bestFit="1" customWidth="1"/>
    <col min="15" max="15" width="18" style="10" bestFit="1" customWidth="1"/>
    <col min="16" max="16" width="12.7109375" style="10" bestFit="1" customWidth="1"/>
    <col min="17" max="16384" width="11.42578125" style="10"/>
  </cols>
  <sheetData>
    <row r="1" spans="1:14" ht="15" customHeight="1" thickBot="1">
      <c r="A1" s="98"/>
      <c r="B1" s="98"/>
      <c r="C1" s="105"/>
      <c r="D1" s="106"/>
      <c r="E1" s="332"/>
      <c r="F1" s="228"/>
      <c r="G1" s="420"/>
      <c r="H1" s="228"/>
      <c r="I1" s="107"/>
      <c r="J1" s="107"/>
      <c r="K1" s="107"/>
      <c r="L1" s="107"/>
    </row>
    <row r="2" spans="1:14" ht="17.100000000000001" customHeight="1" thickTop="1" thickBot="1">
      <c r="A2" s="98"/>
      <c r="B2" s="59"/>
      <c r="C2" s="60"/>
      <c r="D2" s="61"/>
      <c r="E2" s="333"/>
      <c r="F2" s="229"/>
      <c r="G2" s="421"/>
      <c r="H2" s="229"/>
      <c r="I2" s="62"/>
      <c r="J2" s="62"/>
      <c r="K2" s="62"/>
      <c r="L2" s="62"/>
    </row>
    <row r="3" spans="1:14" s="7" customFormat="1" ht="15.95" customHeight="1">
      <c r="A3" s="99"/>
      <c r="B3" s="63"/>
      <c r="C3" s="599" t="s">
        <v>130</v>
      </c>
      <c r="D3" s="607" t="s">
        <v>405</v>
      </c>
      <c r="E3" s="334" t="s">
        <v>120</v>
      </c>
      <c r="F3" s="457">
        <v>2</v>
      </c>
      <c r="G3" s="422" t="s">
        <v>115</v>
      </c>
      <c r="H3" s="459">
        <v>40</v>
      </c>
      <c r="I3" s="456"/>
    </row>
    <row r="4" spans="1:14" s="7" customFormat="1" ht="15.95" customHeight="1">
      <c r="A4" s="99"/>
      <c r="B4" s="63"/>
      <c r="C4" s="599"/>
      <c r="D4" s="608"/>
      <c r="E4" s="335" t="s">
        <v>77</v>
      </c>
      <c r="F4" s="458">
        <v>2</v>
      </c>
      <c r="G4" s="474" t="s">
        <v>119</v>
      </c>
      <c r="H4" s="475">
        <v>1500</v>
      </c>
    </row>
    <row r="5" spans="1:14" s="7" customFormat="1" ht="15.95" customHeight="1" thickBot="1">
      <c r="A5" s="99"/>
      <c r="B5" s="63"/>
      <c r="C5" s="599"/>
      <c r="D5" s="609"/>
      <c r="E5" s="336" t="s">
        <v>240</v>
      </c>
      <c r="F5" s="458">
        <v>6</v>
      </c>
      <c r="G5" s="423" t="s">
        <v>241</v>
      </c>
      <c r="H5" s="460">
        <v>6</v>
      </c>
    </row>
    <row r="6" spans="1:14" s="9" customFormat="1" ht="20.100000000000001" customHeight="1" thickBot="1">
      <c r="A6" s="100"/>
      <c r="B6" s="64"/>
      <c r="C6" s="58"/>
      <c r="D6" s="116" t="s">
        <v>78</v>
      </c>
      <c r="E6" s="117"/>
      <c r="F6" s="230"/>
      <c r="G6" s="412"/>
      <c r="H6" s="231" t="s">
        <v>52</v>
      </c>
      <c r="I6" s="114" t="s">
        <v>54</v>
      </c>
      <c r="J6" s="115" t="s">
        <v>118</v>
      </c>
      <c r="K6" s="193"/>
      <c r="L6" s="193"/>
    </row>
    <row r="7" spans="1:14" ht="9" customHeight="1">
      <c r="A7" s="98"/>
      <c r="B7" s="63"/>
      <c r="C7" s="17"/>
      <c r="D7" s="10"/>
      <c r="E7" s="337"/>
      <c r="F7" s="232"/>
      <c r="G7" s="424"/>
      <c r="H7" s="233"/>
      <c r="I7" s="56"/>
      <c r="J7" s="56"/>
      <c r="K7" s="56"/>
      <c r="L7" s="56"/>
    </row>
    <row r="8" spans="1:14" s="11" customFormat="1" ht="20.100000000000001" customHeight="1">
      <c r="A8" s="101"/>
      <c r="B8" s="65"/>
      <c r="C8" s="110">
        <v>1</v>
      </c>
      <c r="D8" s="111" t="s">
        <v>353</v>
      </c>
      <c r="E8" s="338"/>
      <c r="F8" s="234"/>
      <c r="G8" s="425"/>
      <c r="H8" s="235">
        <f>H80</f>
        <v>54600000</v>
      </c>
      <c r="I8" s="197">
        <f>+I80</f>
        <v>11340000</v>
      </c>
      <c r="J8" s="198">
        <f>SUM(H8:I8)</f>
        <v>65940000</v>
      </c>
      <c r="K8" s="165">
        <f>100/$H$62*H8</f>
        <v>1.9774777654634839</v>
      </c>
      <c r="L8" s="162" t="s">
        <v>234</v>
      </c>
      <c r="N8" s="222"/>
    </row>
    <row r="9" spans="1:14" ht="9" customHeight="1">
      <c r="A9" s="98"/>
      <c r="B9" s="66"/>
      <c r="C9" s="21"/>
      <c r="D9" s="22"/>
      <c r="E9" s="339"/>
      <c r="F9" s="236"/>
      <c r="G9" s="426"/>
      <c r="H9" s="237"/>
      <c r="I9" s="197"/>
      <c r="J9" s="39"/>
      <c r="K9" s="163"/>
      <c r="L9" s="163"/>
    </row>
    <row r="10" spans="1:14" s="11" customFormat="1" ht="20.100000000000001" customHeight="1">
      <c r="A10" s="101"/>
      <c r="B10" s="65"/>
      <c r="C10" s="110">
        <v>2</v>
      </c>
      <c r="D10" s="111" t="s">
        <v>354</v>
      </c>
      <c r="E10" s="338"/>
      <c r="F10" s="234"/>
      <c r="G10" s="425"/>
      <c r="H10" s="235">
        <f>H86</f>
        <v>150000000</v>
      </c>
      <c r="I10" s="197">
        <f>+I86</f>
        <v>31500000</v>
      </c>
      <c r="J10" s="198">
        <f>SUM(H10:I10)</f>
        <v>181500000</v>
      </c>
      <c r="K10" s="165">
        <f>100/$H$62*H10</f>
        <v>5.4326312238007795</v>
      </c>
      <c r="L10" s="162" t="s">
        <v>234</v>
      </c>
    </row>
    <row r="11" spans="1:14" ht="9" customHeight="1">
      <c r="A11" s="98"/>
      <c r="B11" s="66"/>
      <c r="C11" s="21"/>
      <c r="D11" s="22"/>
      <c r="E11" s="339"/>
      <c r="F11" s="236"/>
      <c r="G11" s="426"/>
      <c r="H11" s="237"/>
      <c r="I11" s="197"/>
      <c r="J11" s="39"/>
      <c r="K11" s="163"/>
      <c r="L11" s="163"/>
    </row>
    <row r="12" spans="1:14" s="11" customFormat="1" ht="20.100000000000001" customHeight="1">
      <c r="A12" s="101"/>
      <c r="B12" s="65"/>
      <c r="C12" s="110">
        <v>3</v>
      </c>
      <c r="D12" s="111" t="str">
        <f>D88</f>
        <v>PRODUCCION</v>
      </c>
      <c r="E12" s="338"/>
      <c r="F12" s="234"/>
      <c r="G12" s="425"/>
      <c r="H12" s="235">
        <f>H93</f>
        <v>80000000</v>
      </c>
      <c r="I12" s="197">
        <f>+I93</f>
        <v>16800000</v>
      </c>
      <c r="J12" s="198">
        <f>SUM(H12:I12)</f>
        <v>96800000</v>
      </c>
      <c r="K12" s="165">
        <f>100/$H$62*H12</f>
        <v>2.8974033193604161</v>
      </c>
      <c r="L12" s="162" t="s">
        <v>234</v>
      </c>
    </row>
    <row r="13" spans="1:14" ht="9" customHeight="1">
      <c r="A13" s="98"/>
      <c r="B13" s="66"/>
      <c r="C13" s="21"/>
      <c r="D13" s="22"/>
      <c r="E13" s="339"/>
      <c r="F13" s="236"/>
      <c r="G13" s="426"/>
      <c r="H13" s="237"/>
      <c r="I13" s="197"/>
      <c r="J13" s="39"/>
      <c r="K13" s="163"/>
      <c r="L13" s="163"/>
    </row>
    <row r="14" spans="1:14" s="11" customFormat="1" ht="17.100000000000001" customHeight="1">
      <c r="A14" s="101"/>
      <c r="B14" s="65"/>
      <c r="C14" s="110">
        <v>4</v>
      </c>
      <c r="D14" s="111" t="str">
        <f>D95</f>
        <v>EQUIPO TECNICO</v>
      </c>
      <c r="E14" s="338"/>
      <c r="F14" s="234"/>
      <c r="G14" s="425"/>
      <c r="H14" s="235">
        <f>+H551</f>
        <v>675425800.06081712</v>
      </c>
      <c r="I14" s="197"/>
      <c r="J14" s="198">
        <f>SUM(H14:I14)</f>
        <v>675425800.06081712</v>
      </c>
      <c r="K14" s="165">
        <f>100/$H$62*H14</f>
        <v>24.46226193847345</v>
      </c>
      <c r="L14" s="162" t="s">
        <v>234</v>
      </c>
    </row>
    <row r="15" spans="1:14" ht="9" customHeight="1">
      <c r="A15" s="98"/>
      <c r="B15" s="66"/>
      <c r="C15" s="21"/>
      <c r="D15" s="22"/>
      <c r="E15" s="339"/>
      <c r="F15" s="236"/>
      <c r="G15" s="426"/>
      <c r="H15" s="237"/>
      <c r="I15" s="197"/>
      <c r="J15" s="39"/>
      <c r="K15" s="163"/>
      <c r="L15" s="163"/>
    </row>
    <row r="16" spans="1:14" s="11" customFormat="1" ht="17.100000000000001" customHeight="1">
      <c r="A16" s="101"/>
      <c r="B16" s="65"/>
      <c r="C16" s="110">
        <v>5</v>
      </c>
      <c r="D16" s="172" t="s">
        <v>239</v>
      </c>
      <c r="E16" s="338"/>
      <c r="F16" s="234"/>
      <c r="G16" s="425"/>
      <c r="H16" s="235">
        <f>H587</f>
        <v>299000035.86563206</v>
      </c>
      <c r="I16" s="197"/>
      <c r="J16" s="198">
        <f>SUM(H16:I16)</f>
        <v>299000035.86563206</v>
      </c>
      <c r="K16" s="165">
        <f>100/$H$62*H16</f>
        <v>10.829046205074571</v>
      </c>
      <c r="L16" s="162" t="s">
        <v>234</v>
      </c>
    </row>
    <row r="17" spans="1:12" ht="9" customHeight="1">
      <c r="A17" s="98"/>
      <c r="B17" s="66"/>
      <c r="C17" s="21"/>
      <c r="D17" s="22"/>
      <c r="E17" s="339"/>
      <c r="F17" s="236"/>
      <c r="G17" s="426"/>
      <c r="H17" s="237"/>
      <c r="I17" s="197"/>
      <c r="J17" s="39"/>
      <c r="K17" s="163"/>
      <c r="L17" s="163"/>
    </row>
    <row r="18" spans="1:12" s="11" customFormat="1" ht="17.100000000000001" customHeight="1">
      <c r="A18" s="101"/>
      <c r="B18" s="65"/>
      <c r="C18" s="110">
        <v>6</v>
      </c>
      <c r="D18" s="172" t="s">
        <v>19</v>
      </c>
      <c r="E18" s="338"/>
      <c r="F18" s="234"/>
      <c r="G18" s="425"/>
      <c r="H18" s="235">
        <f>H594</f>
        <v>252592038.64891145</v>
      </c>
      <c r="I18" s="197"/>
      <c r="J18" s="198">
        <f>SUM(H18:I18)</f>
        <v>252592038.64891145</v>
      </c>
      <c r="K18" s="165">
        <f>100/$H$62*H18</f>
        <v>9.1482626403171317</v>
      </c>
      <c r="L18" s="162" t="s">
        <v>234</v>
      </c>
    </row>
    <row r="19" spans="1:12" ht="9" customHeight="1">
      <c r="A19" s="98"/>
      <c r="B19" s="66"/>
      <c r="C19" s="21"/>
      <c r="D19" s="22"/>
      <c r="E19" s="339"/>
      <c r="F19" s="236"/>
      <c r="G19" s="426"/>
      <c r="H19" s="237"/>
      <c r="I19" s="197"/>
      <c r="J19" s="39"/>
      <c r="K19" s="163"/>
      <c r="L19" s="163"/>
    </row>
    <row r="20" spans="1:12" s="11" customFormat="1" ht="17.100000000000001" customHeight="1">
      <c r="A20" s="101"/>
      <c r="B20" s="65"/>
      <c r="C20" s="110">
        <v>7</v>
      </c>
      <c r="D20" s="111" t="str">
        <f>D596</f>
        <v>VESTUARIO</v>
      </c>
      <c r="E20" s="338"/>
      <c r="F20" s="234"/>
      <c r="G20" s="425"/>
      <c r="H20" s="235">
        <f>H610</f>
        <v>51985632</v>
      </c>
      <c r="I20" s="197">
        <f>+I610</f>
        <v>10916982.720000001</v>
      </c>
      <c r="J20" s="198">
        <f>SUM(H20:I20)</f>
        <v>62902614.719999999</v>
      </c>
      <c r="K20" s="165">
        <f>100/$H$62*H20</f>
        <v>1.8827917839481132</v>
      </c>
      <c r="L20" s="162" t="s">
        <v>234</v>
      </c>
    </row>
    <row r="21" spans="1:12" ht="9" customHeight="1">
      <c r="A21" s="98"/>
      <c r="B21" s="66"/>
      <c r="C21" s="21"/>
      <c r="D21" s="22"/>
      <c r="E21" s="339"/>
      <c r="F21" s="236"/>
      <c r="G21" s="426"/>
      <c r="H21" s="237"/>
      <c r="I21" s="197"/>
      <c r="J21" s="39"/>
      <c r="K21" s="163"/>
      <c r="L21" s="163"/>
    </row>
    <row r="22" spans="1:12" s="11" customFormat="1" ht="17.100000000000001" customHeight="1">
      <c r="A22" s="101"/>
      <c r="B22" s="65"/>
      <c r="C22" s="110">
        <v>8</v>
      </c>
      <c r="D22" s="111" t="str">
        <f>D612</f>
        <v>MAQUILLAJE</v>
      </c>
      <c r="E22" s="338"/>
      <c r="F22" s="234"/>
      <c r="G22" s="425"/>
      <c r="H22" s="235">
        <f>H619</f>
        <v>8804000</v>
      </c>
      <c r="I22" s="197">
        <f>+I619</f>
        <v>1401540</v>
      </c>
      <c r="J22" s="198">
        <f>SUM(H22:I22)</f>
        <v>10205540</v>
      </c>
      <c r="K22" s="165">
        <f>100/$H$62*H22</f>
        <v>0.31885923529561377</v>
      </c>
      <c r="L22" s="162" t="s">
        <v>234</v>
      </c>
    </row>
    <row r="23" spans="1:12" ht="9" customHeight="1">
      <c r="A23" s="98"/>
      <c r="B23" s="66"/>
      <c r="C23" s="21"/>
      <c r="D23" s="22"/>
      <c r="E23" s="339"/>
      <c r="F23" s="236"/>
      <c r="G23" s="426"/>
      <c r="H23" s="237"/>
      <c r="I23" s="197"/>
      <c r="J23" s="39"/>
      <c r="K23" s="163"/>
      <c r="L23" s="163"/>
    </row>
    <row r="24" spans="1:12" s="11" customFormat="1" ht="17.100000000000001" customHeight="1">
      <c r="A24" s="101"/>
      <c r="B24" s="65"/>
      <c r="C24" s="110">
        <v>9</v>
      </c>
      <c r="D24" s="111" t="str">
        <f>D621</f>
        <v>UTILERIA/AMBIENTACIÓN</v>
      </c>
      <c r="E24" s="338"/>
      <c r="F24" s="234"/>
      <c r="G24" s="425"/>
      <c r="H24" s="235">
        <f>H626</f>
        <v>31524000</v>
      </c>
      <c r="I24" s="197">
        <f>+I626</f>
        <v>6620040</v>
      </c>
      <c r="J24" s="198">
        <f>SUM(H24:I24)</f>
        <v>38144040</v>
      </c>
      <c r="K24" s="165">
        <f>100/$H$62*H24</f>
        <v>1.1417217779939719</v>
      </c>
      <c r="L24" s="162" t="s">
        <v>234</v>
      </c>
    </row>
    <row r="25" spans="1:12" ht="9" customHeight="1">
      <c r="A25" s="98"/>
      <c r="B25" s="66"/>
      <c r="C25" s="21"/>
      <c r="D25" s="22"/>
      <c r="E25" s="339"/>
      <c r="F25" s="236"/>
      <c r="G25" s="426"/>
      <c r="H25" s="237"/>
      <c r="I25" s="197"/>
      <c r="J25" s="39"/>
      <c r="K25" s="163"/>
      <c r="L25" s="163"/>
    </row>
    <row r="26" spans="1:12" s="11" customFormat="1" ht="17.100000000000001" customHeight="1">
      <c r="A26" s="101"/>
      <c r="B26" s="65"/>
      <c r="C26" s="110">
        <v>10</v>
      </c>
      <c r="D26" s="111" t="str">
        <f>D628</f>
        <v>ESCENOGRAFIA</v>
      </c>
      <c r="E26" s="338"/>
      <c r="F26" s="234"/>
      <c r="G26" s="425"/>
      <c r="H26" s="235">
        <f>H632</f>
        <v>42884000</v>
      </c>
      <c r="I26" s="197">
        <f>+I632</f>
        <v>9005640</v>
      </c>
      <c r="J26" s="198">
        <f>SUM(H26:I26)</f>
        <v>51889640</v>
      </c>
      <c r="K26" s="165">
        <f>100/$H$62*H26</f>
        <v>1.5531530493431509</v>
      </c>
      <c r="L26" s="162" t="s">
        <v>234</v>
      </c>
    </row>
    <row r="27" spans="1:12" ht="9" customHeight="1">
      <c r="A27" s="98"/>
      <c r="B27" s="66"/>
      <c r="C27" s="21"/>
      <c r="D27" s="22"/>
      <c r="E27" s="339"/>
      <c r="F27" s="236"/>
      <c r="G27" s="426"/>
      <c r="H27" s="237"/>
      <c r="I27" s="197"/>
      <c r="J27" s="39"/>
      <c r="K27" s="163"/>
      <c r="L27" s="163"/>
    </row>
    <row r="28" spans="1:12" s="11" customFormat="1" ht="17.100000000000001" customHeight="1">
      <c r="A28" s="101"/>
      <c r="B28" s="65"/>
      <c r="C28" s="110">
        <v>11</v>
      </c>
      <c r="D28" s="111" t="str">
        <f>D634</f>
        <v>LOCACIONES</v>
      </c>
      <c r="E28" s="338"/>
      <c r="F28" s="234"/>
      <c r="G28" s="425"/>
      <c r="H28" s="235">
        <f>H655</f>
        <v>128239728</v>
      </c>
      <c r="I28" s="197">
        <f>+I655</f>
        <v>23470356</v>
      </c>
      <c r="J28" s="198">
        <f>SUM(H28:I28)</f>
        <v>151710084</v>
      </c>
      <c r="K28" s="165">
        <f>100/$H$62*H28</f>
        <v>4.6445276697634608</v>
      </c>
      <c r="L28" s="162" t="s">
        <v>234</v>
      </c>
    </row>
    <row r="29" spans="1:12" ht="9" customHeight="1">
      <c r="A29" s="98"/>
      <c r="B29" s="66"/>
      <c r="C29" s="21"/>
      <c r="D29" s="22"/>
      <c r="E29" s="339"/>
      <c r="F29" s="236"/>
      <c r="G29" s="426"/>
      <c r="H29" s="237"/>
      <c r="I29" s="197"/>
      <c r="J29" s="39"/>
      <c r="K29" s="163"/>
      <c r="L29" s="163"/>
    </row>
    <row r="30" spans="1:12" s="11" customFormat="1" ht="17.100000000000001" customHeight="1">
      <c r="A30" s="101"/>
      <c r="B30" s="65"/>
      <c r="C30" s="110">
        <v>12</v>
      </c>
      <c r="D30" s="111" t="str">
        <f>D657</f>
        <v>MATERIAL DE ARCHIVO</v>
      </c>
      <c r="E30" s="338"/>
      <c r="F30" s="234"/>
      <c r="G30" s="425"/>
      <c r="H30" s="235">
        <f>H660</f>
        <v>2414000</v>
      </c>
      <c r="I30" s="197">
        <f>+I660</f>
        <v>506940</v>
      </c>
      <c r="J30" s="198">
        <f>SUM(H30:I30)</f>
        <v>2920940</v>
      </c>
      <c r="K30" s="165">
        <f>100/$H$62*H30</f>
        <v>8.7429145161700555E-2</v>
      </c>
      <c r="L30" s="162" t="s">
        <v>234</v>
      </c>
    </row>
    <row r="31" spans="1:12" ht="9" customHeight="1">
      <c r="A31" s="98"/>
      <c r="B31" s="66"/>
      <c r="C31" s="21"/>
      <c r="D31" s="22"/>
      <c r="E31" s="339"/>
      <c r="F31" s="236"/>
      <c r="G31" s="426"/>
      <c r="H31" s="237"/>
      <c r="I31" s="197"/>
      <c r="J31" s="39"/>
      <c r="K31" s="163"/>
      <c r="L31" s="163"/>
    </row>
    <row r="32" spans="1:12" s="11" customFormat="1" ht="17.100000000000001" customHeight="1">
      <c r="A32" s="101"/>
      <c r="B32" s="65"/>
      <c r="C32" s="110">
        <v>13</v>
      </c>
      <c r="D32" s="111" t="str">
        <f>D662</f>
        <v>MUSICA</v>
      </c>
      <c r="E32" s="338"/>
      <c r="F32" s="234"/>
      <c r="G32" s="425"/>
      <c r="H32" s="235">
        <f>H668</f>
        <v>25000000</v>
      </c>
      <c r="I32" s="197">
        <f>+I668</f>
        <v>0</v>
      </c>
      <c r="J32" s="198">
        <f>SUM(H32:I32)</f>
        <v>25000000</v>
      </c>
      <c r="K32" s="165">
        <f>100/$H$62*H32</f>
        <v>0.90543853730012991</v>
      </c>
      <c r="L32" s="162" t="s">
        <v>234</v>
      </c>
    </row>
    <row r="33" spans="1:12" ht="9" customHeight="1">
      <c r="A33" s="98"/>
      <c r="B33" s="66"/>
      <c r="C33" s="21"/>
      <c r="D33" s="22"/>
      <c r="E33" s="339"/>
      <c r="F33" s="236"/>
      <c r="G33" s="426"/>
      <c r="H33" s="237"/>
      <c r="I33" s="197"/>
      <c r="J33" s="39"/>
      <c r="K33" s="163"/>
      <c r="L33" s="163"/>
    </row>
    <row r="34" spans="1:12" s="11" customFormat="1" ht="17.100000000000001" customHeight="1">
      <c r="A34" s="101"/>
      <c r="B34" s="65"/>
      <c r="C34" s="110">
        <v>14</v>
      </c>
      <c r="D34" s="111" t="str">
        <f>D670</f>
        <v>LAB &amp; MEDIA MANAGEMENT</v>
      </c>
      <c r="E34" s="338"/>
      <c r="F34" s="234"/>
      <c r="G34" s="425"/>
      <c r="H34" s="235">
        <f>H676</f>
        <v>43697684.044799998</v>
      </c>
      <c r="I34" s="197">
        <f>+I676</f>
        <v>9176513.6494079996</v>
      </c>
      <c r="J34" s="198">
        <f>SUM(H34:I34)</f>
        <v>52874197.694207996</v>
      </c>
      <c r="K34" s="165">
        <f>100/$H$62*H34</f>
        <v>1.5826226849970775</v>
      </c>
      <c r="L34" s="162" t="s">
        <v>234</v>
      </c>
    </row>
    <row r="35" spans="1:12" ht="9" customHeight="1">
      <c r="A35" s="98"/>
      <c r="B35" s="66"/>
      <c r="C35" s="21"/>
      <c r="D35" s="22"/>
      <c r="E35" s="339"/>
      <c r="F35" s="236"/>
      <c r="G35" s="426"/>
      <c r="H35" s="237"/>
      <c r="I35" s="197"/>
      <c r="J35" s="39"/>
      <c r="K35" s="163"/>
      <c r="L35" s="163"/>
    </row>
    <row r="36" spans="1:12" s="11" customFormat="1" ht="17.100000000000001" customHeight="1">
      <c r="A36" s="101"/>
      <c r="B36" s="65"/>
      <c r="C36" s="110">
        <v>15</v>
      </c>
      <c r="D36" s="111" t="str">
        <f>D678</f>
        <v>PROCESO DE POSTPRODUCCIÓN</v>
      </c>
      <c r="E36" s="338"/>
      <c r="F36" s="234"/>
      <c r="G36" s="425"/>
      <c r="H36" s="235">
        <f>H687</f>
        <v>140436000</v>
      </c>
      <c r="I36" s="197">
        <f>+I687</f>
        <v>29491560</v>
      </c>
      <c r="J36" s="198">
        <f>SUM(H36:I36)</f>
        <v>169927560</v>
      </c>
      <c r="K36" s="165">
        <f>100/$H$62*H36</f>
        <v>5.0862466569712419</v>
      </c>
      <c r="L36" s="162" t="s">
        <v>234</v>
      </c>
    </row>
    <row r="37" spans="1:12" ht="9" customHeight="1">
      <c r="A37" s="98"/>
      <c r="B37" s="66"/>
      <c r="C37" s="21"/>
      <c r="D37" s="22"/>
      <c r="E37" s="339"/>
      <c r="F37" s="236"/>
      <c r="G37" s="426"/>
      <c r="H37" s="237"/>
      <c r="I37" s="197"/>
      <c r="J37" s="39"/>
      <c r="K37" s="163"/>
      <c r="L37" s="163"/>
    </row>
    <row r="38" spans="1:12" s="11" customFormat="1" ht="17.100000000000001" customHeight="1">
      <c r="A38" s="101"/>
      <c r="B38" s="65"/>
      <c r="C38" s="110">
        <v>16</v>
      </c>
      <c r="D38" s="111" t="str">
        <f>D689</f>
        <v>PROCESOS DE SONIDO</v>
      </c>
      <c r="E38" s="338"/>
      <c r="F38" s="234"/>
      <c r="G38" s="425"/>
      <c r="H38" s="235">
        <f>H693</f>
        <v>50391000</v>
      </c>
      <c r="I38" s="197">
        <f>+I693</f>
        <v>10582110</v>
      </c>
      <c r="J38" s="198">
        <f>SUM(H38:I38)</f>
        <v>60973110</v>
      </c>
      <c r="K38" s="165">
        <f>100/$H$62*H38</f>
        <v>1.8250381333236338</v>
      </c>
      <c r="L38" s="162" t="s">
        <v>234</v>
      </c>
    </row>
    <row r="39" spans="1:12" ht="9" customHeight="1">
      <c r="A39" s="98"/>
      <c r="B39" s="66"/>
      <c r="C39" s="21"/>
      <c r="D39" s="22"/>
      <c r="E39" s="339"/>
      <c r="F39" s="236"/>
      <c r="G39" s="426"/>
      <c r="H39" s="237"/>
      <c r="I39" s="197"/>
      <c r="J39" s="39"/>
      <c r="K39" s="163"/>
      <c r="L39" s="163"/>
    </row>
    <row r="40" spans="1:12" s="11" customFormat="1" ht="17.100000000000001" customHeight="1">
      <c r="A40" s="101"/>
      <c r="B40" s="65"/>
      <c r="C40" s="110">
        <v>17</v>
      </c>
      <c r="D40" s="111" t="str">
        <f>D695</f>
        <v>EQUIPOS DE CAMARAS/LUCES/SONIDO</v>
      </c>
      <c r="E40" s="338"/>
      <c r="F40" s="234"/>
      <c r="G40" s="425"/>
      <c r="H40" s="235">
        <f>H728</f>
        <v>174702300</v>
      </c>
      <c r="I40" s="197">
        <f>+I728</f>
        <v>36687483</v>
      </c>
      <c r="J40" s="198">
        <f>SUM(H40:I40)</f>
        <v>211389783</v>
      </c>
      <c r="K40" s="165">
        <f>100/$H$62*H40</f>
        <v>6.3272877989987402</v>
      </c>
      <c r="L40" s="162" t="s">
        <v>234</v>
      </c>
    </row>
    <row r="41" spans="1:12" ht="9" customHeight="1">
      <c r="A41" s="98"/>
      <c r="B41" s="66"/>
      <c r="C41" s="21"/>
      <c r="D41" s="22"/>
      <c r="E41" s="339"/>
      <c r="F41" s="236"/>
      <c r="G41" s="426"/>
      <c r="H41" s="237"/>
      <c r="I41" s="197"/>
      <c r="J41" s="39"/>
      <c r="K41" s="163"/>
      <c r="L41" s="163"/>
    </row>
    <row r="42" spans="1:12" s="11" customFormat="1" ht="17.100000000000001" customHeight="1">
      <c r="A42" s="101"/>
      <c r="B42" s="65"/>
      <c r="C42" s="110">
        <v>18</v>
      </c>
      <c r="D42" s="111" t="str">
        <f>D730</f>
        <v>EFECTOS ESPECIALES</v>
      </c>
      <c r="E42" s="338"/>
      <c r="F42" s="234"/>
      <c r="G42" s="425"/>
      <c r="H42" s="235">
        <f>H734</f>
        <v>6000000</v>
      </c>
      <c r="I42" s="197">
        <f>+I734</f>
        <v>1260000</v>
      </c>
      <c r="J42" s="198">
        <f>SUM(H42:I42)</f>
        <v>7260000</v>
      </c>
      <c r="K42" s="165">
        <f>100/$H$62*H42</f>
        <v>0.21730524895203118</v>
      </c>
      <c r="L42" s="162" t="s">
        <v>234</v>
      </c>
    </row>
    <row r="43" spans="1:12" ht="9" customHeight="1">
      <c r="A43" s="98"/>
      <c r="B43" s="66"/>
      <c r="C43" s="21"/>
      <c r="D43" s="22"/>
      <c r="E43" s="339"/>
      <c r="F43" s="236"/>
      <c r="G43" s="426"/>
      <c r="H43" s="237"/>
      <c r="I43" s="197"/>
      <c r="J43" s="39"/>
      <c r="K43" s="163"/>
      <c r="L43" s="163"/>
    </row>
    <row r="44" spans="1:12" s="11" customFormat="1" ht="17.100000000000001" customHeight="1">
      <c r="A44" s="101"/>
      <c r="B44" s="65"/>
      <c r="C44" s="110">
        <v>19</v>
      </c>
      <c r="D44" s="111" t="str">
        <f>D736</f>
        <v>MOVILIDAD</v>
      </c>
      <c r="E44" s="338"/>
      <c r="F44" s="234"/>
      <c r="G44" s="425"/>
      <c r="H44" s="235">
        <f>H763</f>
        <v>91206600</v>
      </c>
      <c r="I44" s="197">
        <f>+I763</f>
        <v>17036166</v>
      </c>
      <c r="J44" s="198">
        <f>SUM(H44:I44)</f>
        <v>108242766</v>
      </c>
      <c r="K44" s="165">
        <f>100/$H$62*H44</f>
        <v>3.3032788198447212</v>
      </c>
      <c r="L44" s="162" t="s">
        <v>234</v>
      </c>
    </row>
    <row r="45" spans="1:12" ht="9" customHeight="1">
      <c r="A45" s="98"/>
      <c r="B45" s="66"/>
      <c r="C45" s="21"/>
      <c r="D45" s="22"/>
      <c r="E45" s="339"/>
      <c r="F45" s="236"/>
      <c r="G45" s="426"/>
      <c r="H45" s="237"/>
      <c r="I45" s="197"/>
      <c r="J45" s="39"/>
      <c r="K45" s="163"/>
      <c r="L45" s="163"/>
    </row>
    <row r="46" spans="1:12" s="11" customFormat="1" ht="17.100000000000001" customHeight="1">
      <c r="A46" s="101"/>
      <c r="B46" s="65"/>
      <c r="C46" s="110">
        <v>20</v>
      </c>
      <c r="D46" s="111" t="str">
        <f>D765</f>
        <v>FUERZA MOTRIZ</v>
      </c>
      <c r="E46" s="338"/>
      <c r="F46" s="234"/>
      <c r="G46" s="425"/>
      <c r="H46" s="235">
        <f>H772</f>
        <v>38449600</v>
      </c>
      <c r="I46" s="197">
        <f>+I772</f>
        <v>8074416</v>
      </c>
      <c r="J46" s="198">
        <f>SUM(H46:I46)</f>
        <v>46524016</v>
      </c>
      <c r="K46" s="165">
        <f>100/$H$62*H46</f>
        <v>1.3925499833510031</v>
      </c>
      <c r="L46" s="162" t="s">
        <v>234</v>
      </c>
    </row>
    <row r="47" spans="1:12" ht="9" customHeight="1">
      <c r="A47" s="98"/>
      <c r="B47" s="66"/>
      <c r="C47" s="21"/>
      <c r="D47" s="22"/>
      <c r="E47" s="339"/>
      <c r="F47" s="236"/>
      <c r="G47" s="426"/>
      <c r="H47" s="237"/>
      <c r="I47" s="197"/>
      <c r="J47" s="39"/>
      <c r="K47" s="163"/>
      <c r="L47" s="163"/>
    </row>
    <row r="48" spans="1:12" s="11" customFormat="1" ht="17.100000000000001" customHeight="1">
      <c r="A48" s="101"/>
      <c r="B48" s="65"/>
      <c r="C48" s="110">
        <v>21</v>
      </c>
      <c r="D48" s="111" t="str">
        <f>D774</f>
        <v>COMIDAS</v>
      </c>
      <c r="E48" s="338"/>
      <c r="F48" s="234"/>
      <c r="G48" s="425"/>
      <c r="H48" s="235">
        <f>H781</f>
        <v>70760000</v>
      </c>
      <c r="I48" s="197">
        <f>+I781</f>
        <v>13230000</v>
      </c>
      <c r="J48" s="198">
        <f>SUM(H48:I48)</f>
        <v>83990000</v>
      </c>
      <c r="K48" s="165">
        <f>100/$H$62*H48</f>
        <v>2.5627532359742879</v>
      </c>
      <c r="L48" s="162" t="s">
        <v>234</v>
      </c>
    </row>
    <row r="49" spans="1:20" ht="9" customHeight="1">
      <c r="A49" s="98"/>
      <c r="B49" s="66"/>
      <c r="C49" s="21"/>
      <c r="D49" s="22"/>
      <c r="E49" s="339"/>
      <c r="F49" s="236"/>
      <c r="G49" s="426"/>
      <c r="H49" s="237"/>
      <c r="I49" s="197"/>
      <c r="J49" s="39"/>
      <c r="K49" s="163"/>
      <c r="L49" s="163"/>
    </row>
    <row r="50" spans="1:20" s="11" customFormat="1" ht="17.100000000000001" customHeight="1">
      <c r="A50" s="101"/>
      <c r="B50" s="65"/>
      <c r="C50" s="110">
        <v>22</v>
      </c>
      <c r="D50" s="111" t="str">
        <f>D783</f>
        <v>ADMINISTRACION</v>
      </c>
      <c r="E50" s="338"/>
      <c r="F50" s="234"/>
      <c r="G50" s="425"/>
      <c r="H50" s="235">
        <f>H797</f>
        <v>31151960</v>
      </c>
      <c r="I50" s="197">
        <f>+I797</f>
        <v>3929679.6</v>
      </c>
      <c r="J50" s="198">
        <f>SUM(H50:I50)</f>
        <v>35081639.600000001</v>
      </c>
      <c r="K50" s="165">
        <f>100/$H$62*H50</f>
        <v>1.1282474038572863</v>
      </c>
      <c r="L50" s="162" t="s">
        <v>234</v>
      </c>
    </row>
    <row r="51" spans="1:20" ht="9" customHeight="1">
      <c r="A51" s="98"/>
      <c r="B51" s="66"/>
      <c r="C51" s="21"/>
      <c r="D51" s="22"/>
      <c r="E51" s="339"/>
      <c r="F51" s="236"/>
      <c r="G51" s="426"/>
      <c r="H51" s="237"/>
      <c r="I51" s="197"/>
      <c r="J51" s="39"/>
      <c r="K51" s="163"/>
      <c r="L51" s="163"/>
    </row>
    <row r="52" spans="1:20" s="11" customFormat="1" ht="17.100000000000001" customHeight="1">
      <c r="A52" s="101"/>
      <c r="B52" s="65"/>
      <c r="C52" s="110">
        <v>23</v>
      </c>
      <c r="D52" s="111" t="str">
        <f>D799</f>
        <v>SEGUROS</v>
      </c>
      <c r="E52" s="338"/>
      <c r="F52" s="234"/>
      <c r="G52" s="425"/>
      <c r="H52" s="235">
        <f>H803</f>
        <v>3544046</v>
      </c>
      <c r="I52" s="197">
        <f>+I803</f>
        <v>744249.65999999992</v>
      </c>
      <c r="J52" s="198">
        <f>SUM(H52:I52)</f>
        <v>4288295.66</v>
      </c>
      <c r="K52" s="165">
        <f>100/$H$62*H52</f>
        <v>0.12835663305457506</v>
      </c>
      <c r="L52" s="162" t="s">
        <v>234</v>
      </c>
    </row>
    <row r="53" spans="1:20" s="11" customFormat="1" ht="6.75" customHeight="1">
      <c r="A53" s="101"/>
      <c r="B53" s="65"/>
      <c r="C53" s="149"/>
      <c r="D53" s="150"/>
      <c r="E53" s="340"/>
      <c r="F53" s="238"/>
      <c r="G53" s="427"/>
      <c r="H53" s="239"/>
      <c r="I53" s="197"/>
      <c r="J53" s="199"/>
      <c r="K53" s="164"/>
      <c r="L53" s="164"/>
    </row>
    <row r="54" spans="1:20" s="11" customFormat="1" ht="17.100000000000001" customHeight="1">
      <c r="A54" s="101"/>
      <c r="B54" s="65"/>
      <c r="C54" s="110">
        <v>24</v>
      </c>
      <c r="D54" s="111" t="s">
        <v>199</v>
      </c>
      <c r="E54" s="338"/>
      <c r="F54" s="234"/>
      <c r="G54" s="425"/>
      <c r="H54" s="235">
        <f>+H807</f>
        <v>0</v>
      </c>
      <c r="I54" s="197">
        <f>+I807</f>
        <v>0</v>
      </c>
      <c r="J54" s="198">
        <f>SUM(H54:I54)</f>
        <v>0</v>
      </c>
      <c r="K54" s="165">
        <f>100/$H$62*H54</f>
        <v>0</v>
      </c>
      <c r="L54" s="162" t="s">
        <v>234</v>
      </c>
    </row>
    <row r="55" spans="1:20" ht="6.75" customHeight="1">
      <c r="A55" s="98"/>
      <c r="B55" s="66"/>
      <c r="C55" s="21"/>
      <c r="D55" s="22"/>
      <c r="E55" s="339"/>
      <c r="F55" s="236"/>
      <c r="G55" s="426"/>
      <c r="H55" s="237"/>
      <c r="I55" s="197"/>
      <c r="J55" s="39"/>
      <c r="K55" s="163"/>
      <c r="L55" s="163"/>
    </row>
    <row r="56" spans="1:20" s="11" customFormat="1" ht="17.100000000000001" customHeight="1">
      <c r="A56" s="101"/>
      <c r="B56" s="65"/>
      <c r="C56" s="110">
        <v>25</v>
      </c>
      <c r="D56" s="111" t="str">
        <f>D809</f>
        <v>SEGURIDAD</v>
      </c>
      <c r="E56" s="338"/>
      <c r="F56" s="234"/>
      <c r="G56" s="425"/>
      <c r="H56" s="235">
        <f>H811</f>
        <v>72000000</v>
      </c>
      <c r="I56" s="197">
        <f>+I811</f>
        <v>15120000</v>
      </c>
      <c r="J56" s="198">
        <f>SUM(H56:I56)</f>
        <v>87120000</v>
      </c>
      <c r="K56" s="165">
        <f>100/$H$62*H56</f>
        <v>2.6076629874243742</v>
      </c>
      <c r="L56" s="162" t="s">
        <v>234</v>
      </c>
    </row>
    <row r="57" spans="1:20" ht="9" customHeight="1">
      <c r="A57" s="98"/>
      <c r="B57" s="66"/>
      <c r="C57" s="37"/>
      <c r="D57" s="38"/>
      <c r="E57" s="341"/>
      <c r="F57" s="232"/>
      <c r="G57" s="424"/>
      <c r="H57" s="240"/>
      <c r="I57" s="197"/>
      <c r="J57" s="40"/>
      <c r="K57" s="163"/>
      <c r="L57" s="163"/>
    </row>
    <row r="58" spans="1:20" s="11" customFormat="1" ht="17.100000000000001" customHeight="1">
      <c r="A58" s="101"/>
      <c r="B58" s="65"/>
      <c r="C58" s="110">
        <v>26</v>
      </c>
      <c r="D58" s="111" t="s">
        <v>183</v>
      </c>
      <c r="E58" s="338"/>
      <c r="F58" s="234"/>
      <c r="G58" s="425"/>
      <c r="H58" s="235">
        <f>+H817</f>
        <v>160540314.61238715</v>
      </c>
      <c r="I58" s="197">
        <f>+I817</f>
        <v>0</v>
      </c>
      <c r="J58" s="198">
        <f>SUM(H58:I58)</f>
        <v>160540314.61238715</v>
      </c>
      <c r="K58" s="165">
        <f>100/$H$62*H58</f>
        <v>5.8143755056137003</v>
      </c>
      <c r="L58" s="162" t="s">
        <v>234</v>
      </c>
    </row>
    <row r="59" spans="1:20" ht="9" customHeight="1">
      <c r="A59" s="98"/>
      <c r="B59" s="66"/>
      <c r="C59" s="37"/>
      <c r="D59" s="38"/>
      <c r="E59" s="341"/>
      <c r="F59" s="232"/>
      <c r="G59" s="424"/>
      <c r="H59" s="240"/>
      <c r="I59" s="197"/>
      <c r="J59" s="40"/>
      <c r="K59" s="163"/>
      <c r="L59" s="163"/>
    </row>
    <row r="60" spans="1:20" s="11" customFormat="1" ht="17.100000000000001" customHeight="1">
      <c r="A60" s="101"/>
      <c r="B60" s="65"/>
      <c r="C60" s="110">
        <v>27</v>
      </c>
      <c r="D60" s="111" t="s">
        <v>298</v>
      </c>
      <c r="E60" s="338"/>
      <c r="F60" s="234"/>
      <c r="G60" s="425"/>
      <c r="H60" s="235">
        <f>H821</f>
        <v>75744252.738604814</v>
      </c>
      <c r="I60" s="197">
        <f>+I821</f>
        <v>12725034.460085608</v>
      </c>
      <c r="J60" s="198">
        <f>SUM(H60:I60)</f>
        <v>88469287.198690414</v>
      </c>
      <c r="K60" s="165">
        <f>100/$H$62*H60</f>
        <v>2.7432706163413481</v>
      </c>
      <c r="L60" s="162" t="s">
        <v>234</v>
      </c>
      <c r="T60" s="11">
        <f>8000*103</f>
        <v>824000</v>
      </c>
    </row>
    <row r="61" spans="1:20" ht="9" customHeight="1" thickBot="1">
      <c r="A61" s="98"/>
      <c r="B61" s="66"/>
      <c r="C61" s="37"/>
      <c r="D61" s="38"/>
      <c r="E61" s="341"/>
      <c r="F61" s="232"/>
      <c r="G61" s="424"/>
      <c r="H61" s="240"/>
      <c r="I61" s="40"/>
      <c r="J61" s="40"/>
      <c r="K61" s="163"/>
      <c r="L61" s="163"/>
    </row>
    <row r="62" spans="1:20" s="13" customFormat="1" ht="20.100000000000001" customHeight="1" thickBot="1">
      <c r="A62" s="102"/>
      <c r="B62" s="67"/>
      <c r="C62" s="97" t="s">
        <v>131</v>
      </c>
      <c r="D62" s="43"/>
      <c r="E62" s="18"/>
      <c r="F62" s="603" t="s">
        <v>91</v>
      </c>
      <c r="G62" s="604"/>
      <c r="H62" s="241">
        <f>SUM(H60+H58+H56+H54+H52+H50+H48+H46+H44+H42+H40+H38+H36+H34+H32+H30+H28+H26+H24+H22+H20+H18+H16+H14+H12+H10+H8)</f>
        <v>2761092991.9711528</v>
      </c>
      <c r="I62" s="200">
        <f>SUM(I60+I58+I56+I54+I52+I50+I48+I46+I44+I42+I40+I38+I36+I34+I32+I30+I28+I26+I24+I22+I20+I18+I16+I14+I12+I10+I8)</f>
        <v>269618711.08949363</v>
      </c>
      <c r="J62" s="201">
        <f>SUM(H62:I62)</f>
        <v>3030711703.0606465</v>
      </c>
      <c r="K62" s="108"/>
      <c r="L62" s="108"/>
    </row>
    <row r="63" spans="1:20" s="13" customFormat="1" ht="20.100000000000001" customHeight="1" thickBot="1">
      <c r="A63" s="102"/>
      <c r="B63" s="67"/>
      <c r="C63" s="97"/>
      <c r="D63" s="43"/>
      <c r="E63" s="18"/>
      <c r="F63" s="242"/>
      <c r="G63" s="428"/>
      <c r="H63" s="243"/>
      <c r="I63" s="317"/>
      <c r="J63" s="202"/>
      <c r="K63" s="108"/>
      <c r="L63" s="108"/>
    </row>
    <row r="64" spans="1:20" s="13" customFormat="1" ht="20.100000000000001" customHeight="1" thickBot="1">
      <c r="A64" s="102"/>
      <c r="B64" s="67"/>
      <c r="C64" s="97"/>
      <c r="D64" s="43"/>
      <c r="E64" s="18"/>
      <c r="F64" s="605" t="s">
        <v>308</v>
      </c>
      <c r="G64" s="606"/>
      <c r="H64" s="244">
        <f>+H62</f>
        <v>2761092991.9711528</v>
      </c>
      <c r="I64" s="244">
        <f>+I62</f>
        <v>269618711.08949363</v>
      </c>
      <c r="J64" s="244">
        <f>+J62</f>
        <v>3030711703.0606465</v>
      </c>
      <c r="K64" s="108"/>
      <c r="L64" s="108"/>
    </row>
    <row r="65" spans="1:14" s="13" customFormat="1" ht="20.100000000000001" customHeight="1" thickBot="1">
      <c r="A65" s="102"/>
      <c r="B65" s="67"/>
      <c r="C65" s="97"/>
      <c r="D65" s="43"/>
      <c r="E65" s="18"/>
      <c r="F65" s="591" t="s">
        <v>371</v>
      </c>
      <c r="G65" s="592"/>
      <c r="H65" s="585">
        <f>+H64/$H$4</f>
        <v>1840728.6613141019</v>
      </c>
      <c r="I65" s="585">
        <f>+I64/$H$4</f>
        <v>179745.80739299575</v>
      </c>
      <c r="J65" s="585">
        <f>+J64/$H$4</f>
        <v>2020474.4687070977</v>
      </c>
      <c r="K65" s="108"/>
      <c r="L65" s="108"/>
    </row>
    <row r="66" spans="1:14" ht="21" customHeight="1" thickBot="1">
      <c r="A66" s="98"/>
      <c r="B66" s="73"/>
      <c r="C66" s="97"/>
      <c r="D66" s="43"/>
      <c r="E66" s="18"/>
      <c r="F66" s="613"/>
      <c r="G66" s="614"/>
      <c r="H66" s="586"/>
      <c r="I66" s="587"/>
      <c r="J66" s="587"/>
      <c r="K66" s="588"/>
      <c r="L66" s="588"/>
      <c r="M66" s="589"/>
      <c r="N66" s="590"/>
    </row>
    <row r="67" spans="1:14" ht="21" customHeight="1" thickTop="1" thickBot="1">
      <c r="A67" s="98"/>
      <c r="B67" s="63"/>
      <c r="C67" s="97"/>
      <c r="D67" s="43"/>
      <c r="E67" s="587"/>
      <c r="F67" s="605" t="s">
        <v>404</v>
      </c>
      <c r="G67" s="606"/>
      <c r="H67" s="593">
        <f>+J65/H5</f>
        <v>336745.74478451628</v>
      </c>
      <c r="I67" s="587"/>
      <c r="J67" s="587"/>
      <c r="K67" s="587"/>
      <c r="L67" s="108"/>
    </row>
    <row r="68" spans="1:14" ht="21" customHeight="1">
      <c r="A68" s="98"/>
      <c r="B68" s="63"/>
      <c r="C68" s="17"/>
      <c r="D68" s="208"/>
      <c r="E68" s="587"/>
      <c r="F68" s="587"/>
      <c r="G68" s="587"/>
      <c r="H68" s="587"/>
      <c r="I68" s="587"/>
      <c r="J68" s="587"/>
      <c r="K68" s="587"/>
      <c r="L68" s="108"/>
    </row>
    <row r="69" spans="1:14" ht="21" customHeight="1" thickBot="1">
      <c r="A69" s="98"/>
      <c r="B69" s="73"/>
      <c r="C69" s="74"/>
      <c r="D69" s="77"/>
      <c r="E69" s="77"/>
      <c r="F69" s="77"/>
      <c r="G69" s="77"/>
      <c r="H69" s="77"/>
      <c r="I69" s="77"/>
      <c r="J69" s="77"/>
      <c r="K69" s="77"/>
      <c r="L69" s="77"/>
    </row>
    <row r="70" spans="1:14" ht="33" customHeight="1" thickTop="1" thickBot="1">
      <c r="A70" s="98"/>
      <c r="B70" s="63"/>
      <c r="C70" s="78"/>
      <c r="D70" s="2"/>
      <c r="E70" s="342"/>
      <c r="F70" s="246"/>
      <c r="G70" s="429"/>
      <c r="H70" s="246"/>
      <c r="I70" s="12"/>
      <c r="J70" s="12"/>
      <c r="K70" s="12"/>
      <c r="L70" s="12"/>
    </row>
    <row r="71" spans="1:14" s="11" customFormat="1" ht="20.100000000000001" customHeight="1" thickBot="1">
      <c r="A71" s="101"/>
      <c r="B71" s="68"/>
      <c r="C71" s="18"/>
      <c r="D71" s="112" t="s">
        <v>61</v>
      </c>
      <c r="E71" s="342"/>
      <c r="F71" s="246"/>
      <c r="G71" s="430"/>
      <c r="H71" s="246"/>
      <c r="I71" s="36"/>
      <c r="J71" s="36"/>
      <c r="K71" s="36"/>
      <c r="L71" s="36"/>
    </row>
    <row r="72" spans="1:14" ht="30" customHeight="1">
      <c r="A72" s="98"/>
      <c r="B72" s="63"/>
      <c r="D72" s="2"/>
      <c r="E72" s="343"/>
      <c r="F72" s="247"/>
      <c r="G72" s="431"/>
      <c r="H72" s="248"/>
      <c r="I72" s="12"/>
      <c r="J72" s="12"/>
      <c r="K72" s="12"/>
      <c r="L72" s="12"/>
    </row>
    <row r="73" spans="1:14" s="13" customFormat="1" ht="15" customHeight="1">
      <c r="A73" s="102"/>
      <c r="B73" s="69"/>
      <c r="C73" s="110">
        <v>1</v>
      </c>
      <c r="D73" s="113" t="s">
        <v>5</v>
      </c>
      <c r="E73" s="344" t="s">
        <v>73</v>
      </c>
      <c r="F73" s="249" t="s">
        <v>38</v>
      </c>
      <c r="G73" s="413" t="s">
        <v>39</v>
      </c>
      <c r="H73" s="250" t="s">
        <v>52</v>
      </c>
      <c r="I73" s="118" t="s">
        <v>54</v>
      </c>
      <c r="J73" s="118" t="s">
        <v>118</v>
      </c>
      <c r="K73" s="12"/>
      <c r="L73" s="12"/>
    </row>
    <row r="74" spans="1:14" ht="15" customHeight="1">
      <c r="A74" s="98"/>
      <c r="B74" s="66"/>
      <c r="C74" s="17"/>
      <c r="D74" s="88" t="s">
        <v>112</v>
      </c>
      <c r="E74" s="345" t="s">
        <v>108</v>
      </c>
      <c r="F74" s="251"/>
      <c r="G74" s="396">
        <v>0</v>
      </c>
      <c r="H74" s="252">
        <f t="shared" ref="H74:H79" si="0">F74*G74</f>
        <v>0</v>
      </c>
      <c r="I74" s="44">
        <v>0</v>
      </c>
      <c r="J74" s="44">
        <f t="shared" ref="J74:J79" si="1">H74+I74</f>
        <v>0</v>
      </c>
      <c r="K74" s="12"/>
      <c r="L74" s="12"/>
    </row>
    <row r="75" spans="1:14" ht="15" customHeight="1">
      <c r="A75" s="98"/>
      <c r="B75" s="66"/>
      <c r="C75" s="17"/>
      <c r="D75" s="89" t="s">
        <v>138</v>
      </c>
      <c r="E75" s="346" t="s">
        <v>108</v>
      </c>
      <c r="F75" s="253">
        <f>6000*H4</f>
        <v>9000000</v>
      </c>
      <c r="G75" s="397">
        <v>6</v>
      </c>
      <c r="H75" s="252">
        <f>F75*G75</f>
        <v>54000000</v>
      </c>
      <c r="I75" s="44">
        <f>+H75*21%</f>
        <v>11340000</v>
      </c>
      <c r="J75" s="44">
        <f>H75+I75</f>
        <v>65340000</v>
      </c>
      <c r="K75" s="12"/>
      <c r="L75" s="12"/>
    </row>
    <row r="76" spans="1:14" ht="15" customHeight="1">
      <c r="A76" s="98"/>
      <c r="B76" s="66"/>
      <c r="C76" s="17"/>
      <c r="D76" s="89" t="s">
        <v>87</v>
      </c>
      <c r="E76" s="346" t="s">
        <v>108</v>
      </c>
      <c r="F76" s="254">
        <v>0</v>
      </c>
      <c r="G76" s="397">
        <v>0</v>
      </c>
      <c r="H76" s="252">
        <f t="shared" si="0"/>
        <v>0</v>
      </c>
      <c r="I76" s="44">
        <v>0</v>
      </c>
      <c r="J76" s="44">
        <f t="shared" si="1"/>
        <v>0</v>
      </c>
      <c r="K76" s="12"/>
      <c r="L76" s="12"/>
    </row>
    <row r="77" spans="1:14" ht="15" customHeight="1">
      <c r="A77" s="98"/>
      <c r="B77" s="66"/>
      <c r="C77" s="17"/>
      <c r="D77" s="90" t="s">
        <v>111</v>
      </c>
      <c r="E77" s="346" t="s">
        <v>108</v>
      </c>
      <c r="F77" s="252">
        <v>0</v>
      </c>
      <c r="G77" s="397">
        <v>0</v>
      </c>
      <c r="H77" s="252">
        <f t="shared" si="0"/>
        <v>0</v>
      </c>
      <c r="I77" s="44">
        <v>0</v>
      </c>
      <c r="J77" s="44">
        <f t="shared" si="1"/>
        <v>0</v>
      </c>
      <c r="K77" s="12"/>
      <c r="L77" s="12"/>
    </row>
    <row r="78" spans="1:14" ht="15" customHeight="1">
      <c r="A78" s="98"/>
      <c r="B78" s="66"/>
      <c r="C78" s="17"/>
      <c r="D78" s="176" t="s">
        <v>48</v>
      </c>
      <c r="E78" s="346" t="s">
        <v>108</v>
      </c>
      <c r="F78" s="252">
        <v>600000</v>
      </c>
      <c r="G78" s="397">
        <v>1</v>
      </c>
      <c r="H78" s="252">
        <f>F78*G78</f>
        <v>600000</v>
      </c>
      <c r="I78" s="44">
        <v>0</v>
      </c>
      <c r="J78" s="44">
        <f t="shared" si="1"/>
        <v>600000</v>
      </c>
      <c r="K78" s="12"/>
      <c r="L78" s="12"/>
    </row>
    <row r="79" spans="1:14" ht="15" customHeight="1">
      <c r="A79" s="98"/>
      <c r="B79" s="66"/>
      <c r="C79" s="17"/>
      <c r="D79" s="89" t="s">
        <v>60</v>
      </c>
      <c r="E79" s="346" t="s">
        <v>108</v>
      </c>
      <c r="F79" s="252">
        <v>0</v>
      </c>
      <c r="G79" s="397">
        <v>0</v>
      </c>
      <c r="H79" s="252">
        <f t="shared" si="0"/>
        <v>0</v>
      </c>
      <c r="I79" s="44">
        <v>0</v>
      </c>
      <c r="J79" s="44">
        <f t="shared" si="1"/>
        <v>0</v>
      </c>
      <c r="K79" s="12"/>
      <c r="L79" s="12"/>
    </row>
    <row r="80" spans="1:14" s="13" customFormat="1" ht="15" customHeight="1">
      <c r="A80" s="102"/>
      <c r="B80" s="67"/>
      <c r="C80" s="42">
        <f>SUM(C74:C79)</f>
        <v>0</v>
      </c>
      <c r="D80" s="41"/>
      <c r="E80" s="347"/>
      <c r="F80" s="594" t="s">
        <v>80</v>
      </c>
      <c r="G80" s="595" t="s">
        <v>91</v>
      </c>
      <c r="H80" s="255">
        <f>SUM(H74:H79)</f>
        <v>54600000</v>
      </c>
      <c r="I80" s="119">
        <f>SUM(I74:I79)</f>
        <v>11340000</v>
      </c>
      <c r="J80" s="119">
        <f>H80</f>
        <v>54600000</v>
      </c>
      <c r="K80" s="12"/>
      <c r="L80" s="12"/>
    </row>
    <row r="81" spans="1:12" ht="30" customHeight="1">
      <c r="A81" s="98"/>
      <c r="B81" s="63"/>
      <c r="D81" s="2"/>
      <c r="E81" s="343"/>
      <c r="F81" s="247"/>
      <c r="G81" s="431"/>
      <c r="H81" s="248"/>
      <c r="I81" s="12"/>
      <c r="J81" s="12"/>
      <c r="K81" s="12"/>
      <c r="L81" s="12"/>
    </row>
    <row r="82" spans="1:12" s="13" customFormat="1" ht="15" customHeight="1">
      <c r="A82" s="102"/>
      <c r="B82" s="69"/>
      <c r="C82" s="110">
        <v>2</v>
      </c>
      <c r="D82" s="113" t="s">
        <v>36</v>
      </c>
      <c r="E82" s="344" t="s">
        <v>73</v>
      </c>
      <c r="F82" s="249" t="s">
        <v>38</v>
      </c>
      <c r="G82" s="413" t="s">
        <v>39</v>
      </c>
      <c r="H82" s="250" t="s">
        <v>52</v>
      </c>
      <c r="I82" s="118" t="s">
        <v>54</v>
      </c>
      <c r="J82" s="118" t="s">
        <v>118</v>
      </c>
      <c r="K82" s="12"/>
      <c r="L82" s="12"/>
    </row>
    <row r="83" spans="1:12" s="8" customFormat="1" ht="15" customHeight="1">
      <c r="A83" s="98"/>
      <c r="B83" s="66"/>
      <c r="C83" s="3">
        <v>1</v>
      </c>
      <c r="D83" s="89" t="s">
        <v>30</v>
      </c>
      <c r="E83" s="346" t="s">
        <v>108</v>
      </c>
      <c r="F83" s="265">
        <v>25000000</v>
      </c>
      <c r="G83" s="398">
        <v>6</v>
      </c>
      <c r="H83" s="256">
        <f>F83*G83</f>
        <v>150000000</v>
      </c>
      <c r="I83" s="28">
        <f>H83*21%</f>
        <v>31500000</v>
      </c>
      <c r="J83" s="28">
        <f>H83+I83</f>
        <v>181500000</v>
      </c>
      <c r="K83" s="12"/>
      <c r="L83" s="12"/>
    </row>
    <row r="84" spans="1:12" s="8" customFormat="1" ht="15" customHeight="1">
      <c r="A84" s="98"/>
      <c r="B84" s="66"/>
      <c r="C84" s="3"/>
      <c r="D84" s="89" t="s">
        <v>10</v>
      </c>
      <c r="E84" s="346" t="s">
        <v>108</v>
      </c>
      <c r="F84" s="252">
        <v>0</v>
      </c>
      <c r="G84" s="398">
        <v>1</v>
      </c>
      <c r="H84" s="256">
        <f>F84*G84</f>
        <v>0</v>
      </c>
      <c r="I84" s="28">
        <v>0</v>
      </c>
      <c r="J84" s="28">
        <f>H84</f>
        <v>0</v>
      </c>
      <c r="K84" s="12"/>
      <c r="L84" s="12"/>
    </row>
    <row r="85" spans="1:12" s="8" customFormat="1" ht="15" customHeight="1">
      <c r="A85" s="98"/>
      <c r="B85" s="66"/>
      <c r="C85" s="3"/>
      <c r="D85" s="89" t="s">
        <v>11</v>
      </c>
      <c r="E85" s="346" t="s">
        <v>108</v>
      </c>
      <c r="F85" s="252">
        <v>0</v>
      </c>
      <c r="G85" s="398">
        <v>1</v>
      </c>
      <c r="H85" s="256">
        <f>F85*G85</f>
        <v>0</v>
      </c>
      <c r="I85" s="28">
        <v>0</v>
      </c>
      <c r="J85" s="28">
        <f>H85</f>
        <v>0</v>
      </c>
      <c r="K85" s="12"/>
      <c r="L85" s="12"/>
    </row>
    <row r="86" spans="1:12" s="13" customFormat="1" ht="15" customHeight="1">
      <c r="A86" s="102"/>
      <c r="B86" s="67"/>
      <c r="C86" s="42">
        <f>SUM(C83:C85)</f>
        <v>1</v>
      </c>
      <c r="D86" s="41"/>
      <c r="E86" s="347"/>
      <c r="F86" s="594" t="s">
        <v>81</v>
      </c>
      <c r="G86" s="595" t="s">
        <v>91</v>
      </c>
      <c r="H86" s="255">
        <f>SUM(H83:H85)</f>
        <v>150000000</v>
      </c>
      <c r="I86" s="119">
        <f>SUM(I83:I85)</f>
        <v>31500000</v>
      </c>
      <c r="J86" s="119">
        <f>SUM(J83:J85)</f>
        <v>181500000</v>
      </c>
      <c r="K86" s="12"/>
      <c r="L86" s="12"/>
    </row>
    <row r="87" spans="1:12" ht="30" customHeight="1">
      <c r="A87" s="98"/>
      <c r="B87" s="63"/>
      <c r="D87" s="2"/>
      <c r="E87" s="343"/>
      <c r="F87" s="247"/>
      <c r="G87" s="431"/>
      <c r="H87" s="248"/>
      <c r="I87" s="12"/>
      <c r="J87" s="12"/>
      <c r="K87" s="12"/>
      <c r="L87" s="12"/>
    </row>
    <row r="88" spans="1:12" s="13" customFormat="1" ht="15" customHeight="1">
      <c r="A88" s="102"/>
      <c r="B88" s="69"/>
      <c r="C88" s="110">
        <v>3</v>
      </c>
      <c r="D88" s="113" t="s">
        <v>37</v>
      </c>
      <c r="E88" s="344" t="s">
        <v>73</v>
      </c>
      <c r="F88" s="249" t="s">
        <v>38</v>
      </c>
      <c r="G88" s="413" t="s">
        <v>39</v>
      </c>
      <c r="H88" s="250" t="s">
        <v>52</v>
      </c>
      <c r="I88" s="118" t="s">
        <v>54</v>
      </c>
      <c r="J88" s="118" t="s">
        <v>118</v>
      </c>
      <c r="K88" s="12"/>
      <c r="L88" s="12"/>
    </row>
    <row r="89" spans="1:12" s="8" customFormat="1" ht="15" customHeight="1">
      <c r="A89" s="98"/>
      <c r="B89" s="66"/>
      <c r="C89" s="17"/>
      <c r="D89" s="89" t="s">
        <v>75</v>
      </c>
      <c r="E89" s="346" t="s">
        <v>108</v>
      </c>
      <c r="F89" s="252">
        <v>0</v>
      </c>
      <c r="G89" s="397">
        <v>0</v>
      </c>
      <c r="H89" s="252">
        <f>F89*G89</f>
        <v>0</v>
      </c>
      <c r="I89" s="28">
        <v>0</v>
      </c>
      <c r="J89" s="28">
        <f>H89</f>
        <v>0</v>
      </c>
      <c r="K89" s="12"/>
      <c r="L89" s="12"/>
    </row>
    <row r="90" spans="1:12" s="8" customFormat="1" ht="15" customHeight="1">
      <c r="A90" s="98"/>
      <c r="B90" s="66"/>
      <c r="C90" s="3">
        <v>1</v>
      </c>
      <c r="D90" s="89" t="s">
        <v>41</v>
      </c>
      <c r="E90" s="346" t="s">
        <v>108</v>
      </c>
      <c r="F90" s="252">
        <v>8000000</v>
      </c>
      <c r="G90" s="398">
        <v>10</v>
      </c>
      <c r="H90" s="256">
        <f>F90*G90</f>
        <v>80000000</v>
      </c>
      <c r="I90" s="28">
        <f>H90*21%</f>
        <v>16800000</v>
      </c>
      <c r="J90" s="28">
        <f>H90+I90</f>
        <v>96800000</v>
      </c>
      <c r="K90" s="12"/>
      <c r="L90" s="12"/>
    </row>
    <row r="91" spans="1:12" s="8" customFormat="1" ht="15" customHeight="1">
      <c r="A91" s="98"/>
      <c r="B91" s="66"/>
      <c r="C91" s="3"/>
      <c r="D91" s="89" t="s">
        <v>47</v>
      </c>
      <c r="E91" s="346" t="s">
        <v>108</v>
      </c>
      <c r="F91" s="252">
        <v>0</v>
      </c>
      <c r="G91" s="398">
        <v>0</v>
      </c>
      <c r="H91" s="256">
        <f>F91*G91</f>
        <v>0</v>
      </c>
      <c r="I91" s="28">
        <v>0</v>
      </c>
      <c r="J91" s="28">
        <f>H91</f>
        <v>0</v>
      </c>
      <c r="K91" s="12"/>
      <c r="L91" s="12"/>
    </row>
    <row r="92" spans="1:12" s="8" customFormat="1" ht="15" customHeight="1">
      <c r="A92" s="98"/>
      <c r="B92" s="66"/>
      <c r="C92" s="3"/>
      <c r="D92" s="89" t="s">
        <v>104</v>
      </c>
      <c r="E92" s="346" t="s">
        <v>109</v>
      </c>
      <c r="F92" s="252">
        <v>0</v>
      </c>
      <c r="G92" s="398">
        <v>0</v>
      </c>
      <c r="H92" s="256">
        <f>F92*G92</f>
        <v>0</v>
      </c>
      <c r="I92" s="28">
        <v>0</v>
      </c>
      <c r="J92" s="28">
        <f>H92</f>
        <v>0</v>
      </c>
      <c r="K92" s="12"/>
      <c r="L92" s="12"/>
    </row>
    <row r="93" spans="1:12" s="13" customFormat="1" ht="15" customHeight="1">
      <c r="A93" s="102"/>
      <c r="B93" s="67"/>
      <c r="C93" s="42">
        <f>SUM(C89:C92)</f>
        <v>1</v>
      </c>
      <c r="D93" s="41"/>
      <c r="E93" s="347"/>
      <c r="F93" s="594" t="s">
        <v>82</v>
      </c>
      <c r="G93" s="595" t="s">
        <v>91</v>
      </c>
      <c r="H93" s="255">
        <f>SUM(H89:H92)</f>
        <v>80000000</v>
      </c>
      <c r="I93" s="119">
        <f>SUM(I89:I92)</f>
        <v>16800000</v>
      </c>
      <c r="J93" s="119">
        <f>SUM(J89:J92)</f>
        <v>96800000</v>
      </c>
      <c r="K93" s="12"/>
      <c r="L93" s="12"/>
    </row>
    <row r="94" spans="1:12" ht="30" customHeight="1">
      <c r="A94" s="98"/>
      <c r="B94" s="63"/>
      <c r="D94" s="2"/>
      <c r="E94" s="343"/>
      <c r="F94" s="247"/>
      <c r="G94" s="431"/>
      <c r="H94" s="248"/>
      <c r="I94" s="12"/>
      <c r="J94" s="12"/>
      <c r="K94" s="12"/>
      <c r="L94" s="12"/>
    </row>
    <row r="95" spans="1:12" s="13" customFormat="1" ht="15" customHeight="1">
      <c r="A95" s="102"/>
      <c r="B95" s="69"/>
      <c r="C95" s="120">
        <v>4</v>
      </c>
      <c r="D95" s="113" t="s">
        <v>123</v>
      </c>
      <c r="E95" s="344" t="s">
        <v>73</v>
      </c>
      <c r="F95" s="249" t="s">
        <v>38</v>
      </c>
      <c r="G95" s="413" t="s">
        <v>39</v>
      </c>
      <c r="H95" s="250" t="s">
        <v>52</v>
      </c>
      <c r="I95" s="118" t="s">
        <v>54</v>
      </c>
      <c r="J95" s="118" t="s">
        <v>118</v>
      </c>
      <c r="K95" s="12"/>
      <c r="L95" s="12"/>
    </row>
    <row r="96" spans="1:12" s="29" customFormat="1" ht="15" customHeight="1">
      <c r="A96" s="103"/>
      <c r="B96" s="70"/>
      <c r="C96" s="3"/>
      <c r="D96" s="204" t="s">
        <v>387</v>
      </c>
      <c r="E96" s="348"/>
      <c r="F96" s="257"/>
      <c r="G96" s="432"/>
      <c r="H96" s="259"/>
      <c r="I96" s="14"/>
      <c r="J96" s="14"/>
      <c r="K96" s="12"/>
      <c r="L96" s="12"/>
    </row>
    <row r="97" spans="1:12" s="29" customFormat="1" ht="15" customHeight="1">
      <c r="A97" s="103"/>
      <c r="B97" s="70"/>
      <c r="C97" s="3"/>
      <c r="D97" s="146" t="s">
        <v>197</v>
      </c>
      <c r="E97" s="348"/>
      <c r="F97" s="257"/>
      <c r="G97" s="432"/>
      <c r="H97" s="260"/>
      <c r="I97" s="14"/>
      <c r="J97" s="14"/>
      <c r="K97" s="12"/>
      <c r="L97" s="12"/>
    </row>
    <row r="98" spans="1:12" s="29" customFormat="1" ht="15" customHeight="1">
      <c r="A98" s="103"/>
      <c r="B98" s="70"/>
      <c r="C98" s="3">
        <v>1</v>
      </c>
      <c r="D98" s="91" t="s">
        <v>139</v>
      </c>
      <c r="E98" s="476">
        <f>' Tablas SAT, AAA &amp; Sutep'!U4</f>
        <v>2481080.3435</v>
      </c>
      <c r="F98" s="261"/>
      <c r="G98" s="433"/>
      <c r="H98" s="262"/>
      <c r="I98" s="82"/>
      <c r="J98" s="45"/>
      <c r="K98" s="12"/>
      <c r="L98" s="12"/>
    </row>
    <row r="99" spans="1:12" s="29" customFormat="1">
      <c r="A99" s="103"/>
      <c r="B99" s="71"/>
      <c r="C99" s="17"/>
      <c r="D99" s="25" t="s">
        <v>83</v>
      </c>
      <c r="E99" s="349" t="s">
        <v>135</v>
      </c>
      <c r="F99" s="254">
        <f>E98</f>
        <v>2481080.3435</v>
      </c>
      <c r="G99" s="315">
        <v>2</v>
      </c>
      <c r="H99" s="252">
        <f>+G99*F99</f>
        <v>4962160.6869999999</v>
      </c>
      <c r="I99" s="83"/>
      <c r="J99" s="26"/>
      <c r="K99" s="12"/>
      <c r="L99" s="12"/>
    </row>
    <row r="100" spans="1:12" s="29" customFormat="1">
      <c r="A100" s="103"/>
      <c r="B100" s="71"/>
      <c r="C100" s="17"/>
      <c r="D100" s="25" t="s">
        <v>77</v>
      </c>
      <c r="E100" s="349" t="s">
        <v>135</v>
      </c>
      <c r="F100" s="254">
        <f>F99</f>
        <v>2481080.3435</v>
      </c>
      <c r="G100" s="315">
        <v>2</v>
      </c>
      <c r="H100" s="252">
        <f>+G100*F100</f>
        <v>4962160.6869999999</v>
      </c>
      <c r="I100" s="83"/>
      <c r="J100" s="26"/>
      <c r="K100" s="12"/>
      <c r="L100" s="12"/>
    </row>
    <row r="101" spans="1:12" s="29" customFormat="1">
      <c r="A101" s="103"/>
      <c r="B101" s="71"/>
      <c r="C101" s="17"/>
      <c r="D101" s="25" t="s">
        <v>137</v>
      </c>
      <c r="E101" s="350">
        <f>22*3</f>
        <v>66</v>
      </c>
      <c r="F101" s="254">
        <f>(F100/150)*2</f>
        <v>33081.071246666666</v>
      </c>
      <c r="G101" s="315">
        <v>5.5</v>
      </c>
      <c r="H101" s="252">
        <f>E101*F101*G101</f>
        <v>12008428.862539999</v>
      </c>
      <c r="I101" s="83"/>
      <c r="J101" s="26"/>
      <c r="K101" s="12"/>
      <c r="L101" s="12"/>
    </row>
    <row r="102" spans="1:12" s="29" customFormat="1">
      <c r="A102" s="103"/>
      <c r="B102" s="71"/>
      <c r="C102" s="17"/>
      <c r="D102" s="25" t="s">
        <v>14</v>
      </c>
      <c r="E102" s="351" t="s">
        <v>110</v>
      </c>
      <c r="F102" s="254">
        <v>0</v>
      </c>
      <c r="G102" s="315"/>
      <c r="H102" s="252">
        <f>+G102*F102</f>
        <v>0</v>
      </c>
      <c r="I102" s="83"/>
      <c r="J102" s="26"/>
      <c r="K102" s="12"/>
      <c r="L102" s="12"/>
    </row>
    <row r="103" spans="1:12" s="29" customFormat="1">
      <c r="A103" s="103"/>
      <c r="B103" s="71"/>
      <c r="C103" s="17"/>
      <c r="D103" s="25" t="s">
        <v>15</v>
      </c>
      <c r="E103" s="351" t="s">
        <v>110</v>
      </c>
      <c r="F103" s="254">
        <v>0</v>
      </c>
      <c r="G103" s="315"/>
      <c r="H103" s="252">
        <f>+G103*F103</f>
        <v>0</v>
      </c>
      <c r="I103" s="83"/>
      <c r="J103" s="26"/>
      <c r="K103" s="12"/>
      <c r="L103" s="12"/>
    </row>
    <row r="104" spans="1:12" s="29" customFormat="1">
      <c r="A104" s="103"/>
      <c r="B104" s="71"/>
      <c r="C104" s="17"/>
      <c r="D104" s="25" t="s">
        <v>13</v>
      </c>
      <c r="E104" s="349" t="s">
        <v>58</v>
      </c>
      <c r="F104" s="254">
        <f>F100</f>
        <v>2481080.3435</v>
      </c>
      <c r="G104" s="315">
        <v>6</v>
      </c>
      <c r="H104" s="252">
        <f>+G104*F104</f>
        <v>14886482.061000001</v>
      </c>
      <c r="I104" s="83"/>
      <c r="J104" s="26"/>
      <c r="K104" s="12"/>
      <c r="L104" s="12"/>
    </row>
    <row r="105" spans="1:12" s="29" customFormat="1">
      <c r="A105" s="103"/>
      <c r="B105" s="71"/>
      <c r="C105" s="17"/>
      <c r="D105" s="25" t="s">
        <v>136</v>
      </c>
      <c r="E105" s="352" t="s">
        <v>108</v>
      </c>
      <c r="F105" s="263">
        <f>+G99+G100+G104</f>
        <v>10</v>
      </c>
      <c r="G105" s="434" t="s">
        <v>127</v>
      </c>
      <c r="H105" s="265">
        <f>SUM(H99:H104)</f>
        <v>36819232.297539994</v>
      </c>
      <c r="I105" s="83"/>
      <c r="J105" s="26"/>
      <c r="K105" s="12"/>
      <c r="L105" s="12"/>
    </row>
    <row r="106" spans="1:12" s="29" customFormat="1">
      <c r="A106" s="103"/>
      <c r="B106" s="71"/>
      <c r="C106" s="17"/>
      <c r="D106" s="34" t="s">
        <v>126</v>
      </c>
      <c r="E106" s="352" t="s">
        <v>108</v>
      </c>
      <c r="F106" s="264"/>
      <c r="G106" s="435"/>
      <c r="H106" s="265">
        <f>H105*8.33%</f>
        <v>3067042.0503850817</v>
      </c>
      <c r="I106" s="84"/>
      <c r="J106" s="81"/>
      <c r="K106" s="12"/>
      <c r="L106" s="12"/>
    </row>
    <row r="107" spans="1:12" s="29" customFormat="1">
      <c r="A107" s="103"/>
      <c r="B107" s="71"/>
      <c r="C107" s="17"/>
      <c r="D107" s="34" t="s">
        <v>233</v>
      </c>
      <c r="E107" s="353" t="s">
        <v>72</v>
      </c>
      <c r="F107" s="264"/>
      <c r="G107" s="434"/>
      <c r="H107" s="265">
        <f>H105*7%</f>
        <v>2577346.2608277998</v>
      </c>
      <c r="I107" s="85">
        <v>0</v>
      </c>
      <c r="J107" s="31">
        <f>+(H105+H106+H107)*C98</f>
        <v>42463620.608752877</v>
      </c>
      <c r="K107" s="12"/>
      <c r="L107" s="12"/>
    </row>
    <row r="108" spans="1:12" s="29" customFormat="1">
      <c r="A108" s="103"/>
      <c r="B108" s="71"/>
      <c r="C108" s="17"/>
      <c r="D108" s="32"/>
      <c r="E108" s="354"/>
      <c r="F108" s="263"/>
      <c r="G108" s="436"/>
      <c r="H108" s="267"/>
      <c r="I108" s="86"/>
      <c r="J108" s="26"/>
      <c r="K108" s="12"/>
      <c r="L108" s="12"/>
    </row>
    <row r="109" spans="1:12" s="29" customFormat="1" ht="15" customHeight="1">
      <c r="A109" s="103"/>
      <c r="B109" s="70"/>
      <c r="C109" s="3">
        <v>1</v>
      </c>
      <c r="D109" s="91" t="s">
        <v>145</v>
      </c>
      <c r="E109" s="355">
        <f>' Tablas SAT, AAA &amp; Sutep'!U6</f>
        <v>1533732.5920000002</v>
      </c>
      <c r="F109" s="263"/>
      <c r="G109" s="437"/>
      <c r="H109" s="267"/>
      <c r="I109" s="82"/>
      <c r="J109" s="45"/>
      <c r="K109" s="12"/>
      <c r="L109" s="12"/>
    </row>
    <row r="110" spans="1:12" s="29" customFormat="1">
      <c r="A110" s="103"/>
      <c r="B110" s="71"/>
      <c r="C110" s="17"/>
      <c r="D110" s="25" t="s">
        <v>83</v>
      </c>
      <c r="E110" s="356" t="s">
        <v>135</v>
      </c>
      <c r="F110" s="264"/>
      <c r="G110" s="434">
        <v>2</v>
      </c>
      <c r="H110" s="265">
        <f>+G110*F110</f>
        <v>0</v>
      </c>
      <c r="I110" s="83"/>
      <c r="J110" s="26"/>
      <c r="K110" s="12"/>
      <c r="L110" s="12"/>
    </row>
    <row r="111" spans="1:12" s="29" customFormat="1">
      <c r="A111" s="103"/>
      <c r="B111" s="71"/>
      <c r="C111" s="17"/>
      <c r="D111" s="25" t="s">
        <v>77</v>
      </c>
      <c r="E111" s="356" t="s">
        <v>135</v>
      </c>
      <c r="F111" s="268">
        <f>E109</f>
        <v>1533732.5920000002</v>
      </c>
      <c r="G111" s="434">
        <v>2</v>
      </c>
      <c r="H111" s="265">
        <f>+G111*F111</f>
        <v>3067465.1840000004</v>
      </c>
      <c r="I111" s="83"/>
      <c r="J111" s="26"/>
      <c r="K111" s="12"/>
      <c r="L111" s="12"/>
    </row>
    <row r="112" spans="1:12" s="29" customFormat="1">
      <c r="A112" s="103"/>
      <c r="B112" s="71"/>
      <c r="C112" s="17"/>
      <c r="D112" s="25" t="s">
        <v>137</v>
      </c>
      <c r="E112" s="350">
        <f>22*3</f>
        <v>66</v>
      </c>
      <c r="F112" s="264">
        <f>(F111/150)*2</f>
        <v>20449.767893333337</v>
      </c>
      <c r="G112" s="434">
        <v>5.5</v>
      </c>
      <c r="H112" s="265">
        <f>+G112*F112*E112</f>
        <v>7423265.7452800013</v>
      </c>
      <c r="I112" s="83"/>
      <c r="J112" s="26"/>
      <c r="K112" s="12"/>
      <c r="L112" s="12"/>
    </row>
    <row r="113" spans="1:12" s="29" customFormat="1">
      <c r="A113" s="103"/>
      <c r="B113" s="71"/>
      <c r="C113" s="17"/>
      <c r="D113" s="25" t="s">
        <v>14</v>
      </c>
      <c r="E113" s="352" t="s">
        <v>110</v>
      </c>
      <c r="F113" s="264">
        <v>0</v>
      </c>
      <c r="G113" s="434"/>
      <c r="H113" s="265">
        <f>+G113*F113</f>
        <v>0</v>
      </c>
      <c r="I113" s="83"/>
      <c r="J113" s="26"/>
      <c r="K113" s="12"/>
      <c r="L113" s="12"/>
    </row>
    <row r="114" spans="1:12" s="29" customFormat="1">
      <c r="A114" s="103"/>
      <c r="B114" s="71"/>
      <c r="C114" s="17"/>
      <c r="D114" s="25" t="s">
        <v>15</v>
      </c>
      <c r="E114" s="352" t="s">
        <v>110</v>
      </c>
      <c r="F114" s="264">
        <v>0</v>
      </c>
      <c r="G114" s="434"/>
      <c r="H114" s="265">
        <f>+G114*F114</f>
        <v>0</v>
      </c>
      <c r="I114" s="83"/>
      <c r="J114" s="26"/>
      <c r="K114" s="12"/>
      <c r="L114" s="12"/>
    </row>
    <row r="115" spans="1:12" s="29" customFormat="1">
      <c r="A115" s="103"/>
      <c r="B115" s="71"/>
      <c r="C115" s="17"/>
      <c r="D115" s="25" t="s">
        <v>13</v>
      </c>
      <c r="E115" s="356" t="s">
        <v>58</v>
      </c>
      <c r="F115" s="264">
        <f>F111</f>
        <v>1533732.5920000002</v>
      </c>
      <c r="G115" s="434">
        <v>0</v>
      </c>
      <c r="H115" s="265">
        <f>+G115*F115</f>
        <v>0</v>
      </c>
      <c r="I115" s="83"/>
      <c r="J115" s="26"/>
      <c r="K115" s="12"/>
      <c r="L115" s="12"/>
    </row>
    <row r="116" spans="1:12" s="29" customFormat="1">
      <c r="A116" s="103"/>
      <c r="B116" s="71"/>
      <c r="C116" s="17"/>
      <c r="D116" s="25" t="s">
        <v>136</v>
      </c>
      <c r="E116" s="352" t="s">
        <v>108</v>
      </c>
      <c r="F116" s="263">
        <f>+G110+G111+G115</f>
        <v>4</v>
      </c>
      <c r="G116" s="434" t="s">
        <v>127</v>
      </c>
      <c r="H116" s="265">
        <f>SUM(H110:H115)</f>
        <v>10490730.929280002</v>
      </c>
      <c r="I116" s="83"/>
      <c r="J116" s="26"/>
      <c r="K116" s="12"/>
      <c r="L116" s="12"/>
    </row>
    <row r="117" spans="1:12" s="29" customFormat="1">
      <c r="A117" s="103"/>
      <c r="B117" s="71"/>
      <c r="C117" s="17"/>
      <c r="D117" s="34" t="s">
        <v>126</v>
      </c>
      <c r="E117" s="352" t="s">
        <v>108</v>
      </c>
      <c r="F117" s="264"/>
      <c r="G117" s="434"/>
      <c r="H117" s="265">
        <f>H116*8.33%</f>
        <v>873877.88640902413</v>
      </c>
      <c r="I117" s="84"/>
      <c r="J117" s="81"/>
      <c r="K117" s="12"/>
      <c r="L117" s="12"/>
    </row>
    <row r="118" spans="1:12" s="29" customFormat="1">
      <c r="A118" s="103"/>
      <c r="B118" s="71"/>
      <c r="C118" s="17"/>
      <c r="D118" s="34" t="s">
        <v>233</v>
      </c>
      <c r="E118" s="357"/>
      <c r="F118" s="264"/>
      <c r="G118" s="434"/>
      <c r="H118" s="265">
        <f>H116*7%</f>
        <v>734351.16504960018</v>
      </c>
      <c r="I118" s="85">
        <v>0</v>
      </c>
      <c r="J118" s="31">
        <f>+(H116+H117+H118)*C109</f>
        <v>12098959.980738625</v>
      </c>
      <c r="K118" s="12"/>
      <c r="L118" s="12"/>
    </row>
    <row r="119" spans="1:12" s="29" customFormat="1">
      <c r="A119" s="103"/>
      <c r="B119" s="71"/>
      <c r="C119" s="17"/>
      <c r="D119" s="32"/>
      <c r="E119" s="358"/>
      <c r="F119" s="263"/>
      <c r="G119" s="436"/>
      <c r="H119" s="267"/>
      <c r="I119" s="86"/>
      <c r="J119" s="26"/>
      <c r="K119" s="12"/>
      <c r="L119" s="12"/>
    </row>
    <row r="120" spans="1:12" s="29" customFormat="1" ht="15" customHeight="1">
      <c r="A120" s="103"/>
      <c r="B120" s="70"/>
      <c r="C120" s="3">
        <v>2</v>
      </c>
      <c r="D120" s="91" t="s">
        <v>141</v>
      </c>
      <c r="E120" s="359">
        <f>' Tablas SAT, AAA &amp; Sutep'!U9</f>
        <v>1204923.8432</v>
      </c>
      <c r="F120" s="261"/>
      <c r="G120" s="431"/>
      <c r="H120" s="262"/>
      <c r="I120" s="87"/>
      <c r="J120" s="45"/>
      <c r="K120" s="12"/>
      <c r="L120" s="12"/>
    </row>
    <row r="121" spans="1:12" s="29" customFormat="1">
      <c r="A121" s="103"/>
      <c r="B121" s="71"/>
      <c r="C121" s="17"/>
      <c r="D121" s="25" t="s">
        <v>83</v>
      </c>
      <c r="E121" s="349" t="s">
        <v>135</v>
      </c>
      <c r="F121" s="254">
        <f>E120</f>
        <v>1204923.8432</v>
      </c>
      <c r="G121" s="315">
        <v>2</v>
      </c>
      <c r="H121" s="252">
        <f>+G121*F121</f>
        <v>2409847.6864</v>
      </c>
      <c r="I121" s="86"/>
      <c r="J121" s="26"/>
      <c r="K121" s="12"/>
      <c r="L121" s="12"/>
    </row>
    <row r="122" spans="1:12" s="29" customFormat="1">
      <c r="A122" s="103"/>
      <c r="B122" s="71"/>
      <c r="C122" s="17"/>
      <c r="D122" s="25" t="s">
        <v>77</v>
      </c>
      <c r="E122" s="349" t="s">
        <v>135</v>
      </c>
      <c r="F122" s="254">
        <f>F121</f>
        <v>1204923.8432</v>
      </c>
      <c r="G122" s="315">
        <v>2</v>
      </c>
      <c r="H122" s="252">
        <f>+G122*F122</f>
        <v>2409847.6864</v>
      </c>
      <c r="I122" s="86"/>
      <c r="J122" s="26"/>
      <c r="K122" s="12"/>
      <c r="L122" s="12"/>
    </row>
    <row r="123" spans="1:12" s="29" customFormat="1">
      <c r="A123" s="103"/>
      <c r="B123" s="71"/>
      <c r="C123" s="17"/>
      <c r="D123" s="25" t="s">
        <v>137</v>
      </c>
      <c r="E123" s="350">
        <f>22*3</f>
        <v>66</v>
      </c>
      <c r="F123" s="269">
        <f>(F122/150)*2</f>
        <v>16065.651242666667</v>
      </c>
      <c r="G123" s="315">
        <v>5</v>
      </c>
      <c r="H123" s="252">
        <f>+G123*F123*E123</f>
        <v>5301664.9100800008</v>
      </c>
      <c r="I123" s="86"/>
      <c r="J123" s="26"/>
      <c r="K123" s="12"/>
      <c r="L123" s="12"/>
    </row>
    <row r="124" spans="1:12" s="29" customFormat="1">
      <c r="A124" s="103"/>
      <c r="B124" s="71"/>
      <c r="C124" s="17"/>
      <c r="D124" s="25" t="s">
        <v>14</v>
      </c>
      <c r="E124" s="352" t="s">
        <v>110</v>
      </c>
      <c r="F124" s="268">
        <v>0</v>
      </c>
      <c r="G124" s="434"/>
      <c r="H124" s="265">
        <f t="shared" ref="H124:H125" si="2">+G124*F124</f>
        <v>0</v>
      </c>
      <c r="I124" s="156"/>
      <c r="J124" s="26"/>
      <c r="K124" s="12"/>
      <c r="L124" s="12"/>
    </row>
    <row r="125" spans="1:12" s="29" customFormat="1">
      <c r="A125" s="103"/>
      <c r="B125" s="71"/>
      <c r="C125" s="17"/>
      <c r="D125" s="25" t="s">
        <v>15</v>
      </c>
      <c r="E125" s="352" t="s">
        <v>110</v>
      </c>
      <c r="F125" s="264">
        <v>0</v>
      </c>
      <c r="G125" s="434"/>
      <c r="H125" s="265">
        <f t="shared" si="2"/>
        <v>0</v>
      </c>
      <c r="I125" s="156"/>
      <c r="J125" s="26"/>
      <c r="K125" s="12"/>
      <c r="L125" s="12"/>
    </row>
    <row r="126" spans="1:12" s="29" customFormat="1">
      <c r="A126" s="103"/>
      <c r="B126" s="71"/>
      <c r="C126" s="17"/>
      <c r="D126" s="25" t="s">
        <v>13</v>
      </c>
      <c r="E126" s="356" t="s">
        <v>58</v>
      </c>
      <c r="F126" s="264">
        <f>F122</f>
        <v>1204923.8432</v>
      </c>
      <c r="G126" s="434">
        <v>0</v>
      </c>
      <c r="H126" s="265">
        <f>+G126*F126</f>
        <v>0</v>
      </c>
      <c r="I126" s="156"/>
      <c r="J126" s="26"/>
      <c r="K126" s="12"/>
      <c r="L126" s="12"/>
    </row>
    <row r="127" spans="1:12" s="29" customFormat="1">
      <c r="A127" s="103"/>
      <c r="B127" s="71"/>
      <c r="C127" s="17"/>
      <c r="D127" s="25" t="s">
        <v>136</v>
      </c>
      <c r="E127" s="352" t="s">
        <v>108</v>
      </c>
      <c r="F127" s="436">
        <f>G121+G122+G126</f>
        <v>4</v>
      </c>
      <c r="G127" s="434" t="s">
        <v>127</v>
      </c>
      <c r="H127" s="265">
        <f>SUM(H121:H126)</f>
        <v>10121360.282880001</v>
      </c>
      <c r="I127" s="157"/>
      <c r="J127" s="26"/>
      <c r="K127" s="12"/>
      <c r="L127" s="12"/>
    </row>
    <row r="128" spans="1:12" s="29" customFormat="1">
      <c r="A128" s="103"/>
      <c r="B128" s="71"/>
      <c r="C128" s="17"/>
      <c r="D128" s="34" t="s">
        <v>126</v>
      </c>
      <c r="E128" s="352" t="s">
        <v>108</v>
      </c>
      <c r="F128" s="264"/>
      <c r="G128" s="434"/>
      <c r="H128" s="265">
        <f>H127*8.33%</f>
        <v>843109.31156390405</v>
      </c>
      <c r="I128" s="158"/>
      <c r="J128" s="81"/>
      <c r="K128" s="12"/>
      <c r="L128" s="12"/>
    </row>
    <row r="129" spans="1:12" s="29" customFormat="1">
      <c r="A129" s="103"/>
      <c r="B129" s="71"/>
      <c r="C129" s="17"/>
      <c r="D129" s="34" t="s">
        <v>233</v>
      </c>
      <c r="E129" s="357"/>
      <c r="F129" s="264"/>
      <c r="G129" s="434"/>
      <c r="H129" s="265">
        <f>H127*7%</f>
        <v>708495.21980160009</v>
      </c>
      <c r="I129" s="159">
        <v>0</v>
      </c>
      <c r="J129" s="31">
        <f>+(H127+H128+H129)*C120</f>
        <v>23345929.628491007</v>
      </c>
      <c r="K129" s="12"/>
      <c r="L129" s="12"/>
    </row>
    <row r="130" spans="1:12" s="29" customFormat="1">
      <c r="A130" s="103"/>
      <c r="B130" s="71"/>
      <c r="C130" s="17"/>
      <c r="D130" s="32"/>
      <c r="E130" s="354"/>
      <c r="F130" s="263"/>
      <c r="G130" s="436"/>
      <c r="H130" s="267"/>
      <c r="I130" s="156"/>
      <c r="J130" s="26"/>
      <c r="K130" s="12"/>
      <c r="L130" s="12"/>
    </row>
    <row r="131" spans="1:12" s="29" customFormat="1" ht="15" customHeight="1">
      <c r="A131" s="103"/>
      <c r="B131" s="70"/>
      <c r="C131" s="3">
        <v>1</v>
      </c>
      <c r="D131" s="91" t="s">
        <v>309</v>
      </c>
      <c r="E131" s="355">
        <f>' Tablas SAT, AAA &amp; Sutep'!U4</f>
        <v>2481080.3435</v>
      </c>
      <c r="F131" s="263"/>
      <c r="G131" s="436"/>
      <c r="H131" s="267"/>
      <c r="I131" s="160"/>
      <c r="J131" s="45"/>
      <c r="K131" s="12"/>
      <c r="L131" s="12"/>
    </row>
    <row r="132" spans="1:12" s="29" customFormat="1">
      <c r="A132" s="103"/>
      <c r="B132" s="71"/>
      <c r="C132" s="17"/>
      <c r="D132" s="25" t="s">
        <v>83</v>
      </c>
      <c r="E132" s="356" t="s">
        <v>135</v>
      </c>
      <c r="F132" s="264">
        <f>E131</f>
        <v>2481080.3435</v>
      </c>
      <c r="G132" s="434">
        <v>2</v>
      </c>
      <c r="H132" s="265">
        <f>+G132*F132</f>
        <v>4962160.6869999999</v>
      </c>
      <c r="I132" s="156"/>
      <c r="J132" s="26"/>
      <c r="K132" s="12"/>
      <c r="L132" s="12"/>
    </row>
    <row r="133" spans="1:12" s="29" customFormat="1">
      <c r="A133" s="103"/>
      <c r="B133" s="71"/>
      <c r="C133" s="17"/>
      <c r="D133" s="25" t="s">
        <v>77</v>
      </c>
      <c r="E133" s="356" t="s">
        <v>135</v>
      </c>
      <c r="F133" s="264">
        <f>F132</f>
        <v>2481080.3435</v>
      </c>
      <c r="G133" s="434">
        <v>2</v>
      </c>
      <c r="H133" s="265">
        <f>+G133*F133</f>
        <v>4962160.6869999999</v>
      </c>
      <c r="I133" s="156"/>
      <c r="J133" s="26"/>
      <c r="K133" s="12"/>
      <c r="L133" s="12"/>
    </row>
    <row r="134" spans="1:12" s="29" customFormat="1">
      <c r="A134" s="103"/>
      <c r="B134" s="71"/>
      <c r="C134" s="17"/>
      <c r="D134" s="25" t="s">
        <v>137</v>
      </c>
      <c r="E134" s="350">
        <f>22*3</f>
        <v>66</v>
      </c>
      <c r="F134" s="268">
        <f>(F133/150)*2</f>
        <v>33081.071246666666</v>
      </c>
      <c r="G134" s="434">
        <f>+F138</f>
        <v>4</v>
      </c>
      <c r="H134" s="265">
        <f>+G134*F134*E134</f>
        <v>8733402.8091199994</v>
      </c>
      <c r="I134" s="156"/>
      <c r="J134" s="26"/>
      <c r="K134" s="12"/>
      <c r="L134" s="12"/>
    </row>
    <row r="135" spans="1:12" s="29" customFormat="1">
      <c r="A135" s="103"/>
      <c r="B135" s="71"/>
      <c r="C135" s="17"/>
      <c r="D135" s="25" t="s">
        <v>14</v>
      </c>
      <c r="E135" s="352" t="s">
        <v>110</v>
      </c>
      <c r="F135" s="264">
        <v>0</v>
      </c>
      <c r="G135" s="434"/>
      <c r="H135" s="265">
        <f>+G135*F135</f>
        <v>0</v>
      </c>
      <c r="I135" s="156"/>
      <c r="J135" s="26"/>
      <c r="K135" s="12"/>
      <c r="L135" s="12"/>
    </row>
    <row r="136" spans="1:12" s="29" customFormat="1">
      <c r="A136" s="103"/>
      <c r="B136" s="71"/>
      <c r="C136" s="17"/>
      <c r="D136" s="25" t="s">
        <v>15</v>
      </c>
      <c r="E136" s="352" t="s">
        <v>110</v>
      </c>
      <c r="F136" s="264">
        <v>0</v>
      </c>
      <c r="G136" s="434"/>
      <c r="H136" s="265">
        <f>+G136*F136</f>
        <v>0</v>
      </c>
      <c r="I136" s="156"/>
      <c r="J136" s="26"/>
      <c r="K136" s="12"/>
      <c r="L136" s="12"/>
    </row>
    <row r="137" spans="1:12" s="29" customFormat="1">
      <c r="A137" s="103"/>
      <c r="B137" s="71"/>
      <c r="C137" s="17"/>
      <c r="D137" s="25" t="s">
        <v>13</v>
      </c>
      <c r="E137" s="356" t="s">
        <v>58</v>
      </c>
      <c r="F137" s="264">
        <f>E131</f>
        <v>2481080.3435</v>
      </c>
      <c r="G137" s="434">
        <v>0</v>
      </c>
      <c r="H137" s="265">
        <f>+G137*F137</f>
        <v>0</v>
      </c>
      <c r="I137" s="156"/>
      <c r="J137" s="26"/>
      <c r="K137" s="12"/>
      <c r="L137" s="12"/>
    </row>
    <row r="138" spans="1:12" s="29" customFormat="1">
      <c r="A138" s="103"/>
      <c r="B138" s="71"/>
      <c r="C138" s="17"/>
      <c r="D138" s="25" t="s">
        <v>136</v>
      </c>
      <c r="E138" s="352" t="s">
        <v>108</v>
      </c>
      <c r="F138" s="436">
        <f>+G132+G133+G137</f>
        <v>4</v>
      </c>
      <c r="G138" s="434" t="s">
        <v>127</v>
      </c>
      <c r="H138" s="265">
        <f>SUM(H132:H137)</f>
        <v>18657724.183119997</v>
      </c>
      <c r="I138" s="157"/>
      <c r="J138" s="26"/>
      <c r="K138" s="12"/>
      <c r="L138" s="12"/>
    </row>
    <row r="139" spans="1:12" s="29" customFormat="1">
      <c r="A139" s="103"/>
      <c r="B139" s="71"/>
      <c r="C139" s="17"/>
      <c r="D139" s="34" t="s">
        <v>126</v>
      </c>
      <c r="E139" s="352" t="s">
        <v>108</v>
      </c>
      <c r="F139" s="264"/>
      <c r="G139" s="434"/>
      <c r="H139" s="265">
        <f>H138*8.33%</f>
        <v>1554188.4244538958</v>
      </c>
      <c r="I139" s="158"/>
      <c r="J139" s="81"/>
      <c r="K139" s="12"/>
      <c r="L139" s="12"/>
    </row>
    <row r="140" spans="1:12" s="29" customFormat="1">
      <c r="A140" s="103"/>
      <c r="B140" s="71"/>
      <c r="C140" s="17"/>
      <c r="D140" s="34" t="s">
        <v>233</v>
      </c>
      <c r="E140" s="357"/>
      <c r="F140" s="264"/>
      <c r="G140" s="434"/>
      <c r="H140" s="265">
        <f>H138*7%</f>
        <v>1306040.6928184</v>
      </c>
      <c r="I140" s="159">
        <v>0</v>
      </c>
      <c r="J140" s="31">
        <f>+(H138+H139+H140)*C131</f>
        <v>21517953.300392292</v>
      </c>
      <c r="K140" s="12"/>
      <c r="L140" s="12"/>
    </row>
    <row r="141" spans="1:12" s="29" customFormat="1">
      <c r="A141" s="103"/>
      <c r="B141" s="71"/>
      <c r="C141" s="17"/>
      <c r="D141" s="32"/>
      <c r="E141" s="360"/>
      <c r="F141" s="261"/>
      <c r="G141" s="431"/>
      <c r="H141" s="262"/>
      <c r="I141" s="86"/>
      <c r="J141" s="26"/>
      <c r="K141" s="12"/>
      <c r="L141" s="12"/>
    </row>
    <row r="142" spans="1:12" s="29" customFormat="1" ht="21" customHeight="1">
      <c r="A142" s="103"/>
      <c r="B142" s="71"/>
      <c r="C142" s="57">
        <f>SUM(C96:C139)</f>
        <v>5</v>
      </c>
      <c r="D142" s="32"/>
      <c r="E142" s="360"/>
      <c r="F142" s="261"/>
      <c r="G142" s="431"/>
      <c r="H142" s="262"/>
      <c r="I142" s="86"/>
      <c r="J142" s="26"/>
      <c r="K142" s="12"/>
      <c r="L142" s="12"/>
    </row>
    <row r="143" spans="1:12" s="29" customFormat="1" ht="18" customHeight="1">
      <c r="A143" s="103"/>
      <c r="B143" s="71"/>
      <c r="C143" s="17"/>
      <c r="D143" s="32"/>
      <c r="E143" s="360"/>
      <c r="F143" s="261"/>
      <c r="G143" s="431"/>
      <c r="H143" s="262"/>
      <c r="I143" s="86"/>
      <c r="J143" s="26"/>
      <c r="K143" s="12"/>
      <c r="L143" s="12"/>
    </row>
    <row r="144" spans="1:12" s="29" customFormat="1" ht="15" customHeight="1">
      <c r="A144" s="103"/>
      <c r="B144" s="70"/>
      <c r="C144" s="3"/>
      <c r="D144" s="146" t="s">
        <v>196</v>
      </c>
      <c r="E144" s="348"/>
      <c r="F144" s="257"/>
      <c r="G144" s="432"/>
      <c r="H144" s="260"/>
      <c r="I144" s="14"/>
      <c r="J144" s="14"/>
      <c r="K144" s="12"/>
      <c r="L144" s="12"/>
    </row>
    <row r="145" spans="1:12" s="29" customFormat="1" ht="15" customHeight="1">
      <c r="A145" s="103"/>
      <c r="B145" s="70"/>
      <c r="C145" s="3">
        <v>1</v>
      </c>
      <c r="D145" s="91" t="s">
        <v>140</v>
      </c>
      <c r="E145" s="359">
        <f>' Tablas SAT, AAA &amp; Sutep'!U4</f>
        <v>2481080.3435</v>
      </c>
      <c r="F145" s="261"/>
      <c r="G145" s="433"/>
      <c r="H145" s="262"/>
      <c r="I145" s="82"/>
      <c r="J145" s="45"/>
      <c r="K145" s="12"/>
      <c r="L145" s="12"/>
    </row>
    <row r="146" spans="1:12" s="29" customFormat="1">
      <c r="A146" s="103"/>
      <c r="B146" s="71"/>
      <c r="C146" s="17"/>
      <c r="D146" s="25" t="s">
        <v>83</v>
      </c>
      <c r="E146" s="349" t="s">
        <v>135</v>
      </c>
      <c r="F146" s="254">
        <f>E145</f>
        <v>2481080.3435</v>
      </c>
      <c r="G146" s="315">
        <v>2</v>
      </c>
      <c r="H146" s="252">
        <f>+G146*F146</f>
        <v>4962160.6869999999</v>
      </c>
      <c r="I146" s="83"/>
      <c r="J146" s="26"/>
      <c r="K146" s="12"/>
      <c r="L146" s="12"/>
    </row>
    <row r="147" spans="1:12" s="29" customFormat="1">
      <c r="A147" s="103"/>
      <c r="B147" s="71"/>
      <c r="C147" s="17"/>
      <c r="D147" s="25" t="s">
        <v>77</v>
      </c>
      <c r="E147" s="349" t="s">
        <v>135</v>
      </c>
      <c r="F147" s="254">
        <f>F146</f>
        <v>2481080.3435</v>
      </c>
      <c r="G147" s="315">
        <v>2</v>
      </c>
      <c r="H147" s="252">
        <f>+G147*F147</f>
        <v>4962160.6869999999</v>
      </c>
      <c r="I147" s="83"/>
      <c r="J147" s="26"/>
      <c r="K147" s="12"/>
      <c r="L147" s="12"/>
    </row>
    <row r="148" spans="1:12" s="29" customFormat="1">
      <c r="A148" s="103"/>
      <c r="B148" s="71"/>
      <c r="C148" s="17"/>
      <c r="D148" s="25" t="s">
        <v>137</v>
      </c>
      <c r="E148" s="350">
        <f>22*3</f>
        <v>66</v>
      </c>
      <c r="F148" s="269">
        <f>(F147/150)*2</f>
        <v>33081.071246666666</v>
      </c>
      <c r="G148" s="315">
        <f>+F152</f>
        <v>4</v>
      </c>
      <c r="H148" s="252">
        <f>+G148*F148*E148</f>
        <v>8733402.8091199994</v>
      </c>
      <c r="I148" s="83"/>
      <c r="J148" s="26"/>
      <c r="K148" s="12"/>
      <c r="L148" s="12"/>
    </row>
    <row r="149" spans="1:12" s="29" customFormat="1">
      <c r="A149" s="103"/>
      <c r="B149" s="71"/>
      <c r="C149" s="17"/>
      <c r="D149" s="25" t="s">
        <v>14</v>
      </c>
      <c r="E149" s="352" t="s">
        <v>110</v>
      </c>
      <c r="F149" s="264">
        <v>0</v>
      </c>
      <c r="G149" s="438"/>
      <c r="H149" s="265">
        <f>+G149*F149</f>
        <v>0</v>
      </c>
      <c r="I149" s="83"/>
      <c r="J149" s="26"/>
      <c r="K149" s="12"/>
      <c r="L149" s="12"/>
    </row>
    <row r="150" spans="1:12" s="29" customFormat="1">
      <c r="A150" s="103"/>
      <c r="B150" s="71"/>
      <c r="C150" s="17"/>
      <c r="D150" s="25" t="s">
        <v>15</v>
      </c>
      <c r="E150" s="352" t="s">
        <v>110</v>
      </c>
      <c r="F150" s="264">
        <v>0</v>
      </c>
      <c r="G150" s="434"/>
      <c r="H150" s="265">
        <f>+G150*F150</f>
        <v>0</v>
      </c>
      <c r="I150" s="83"/>
      <c r="J150" s="26"/>
      <c r="K150" s="12"/>
      <c r="L150" s="12"/>
    </row>
    <row r="151" spans="1:12" s="29" customFormat="1">
      <c r="A151" s="103"/>
      <c r="B151" s="71"/>
      <c r="C151" s="17"/>
      <c r="D151" s="25" t="s">
        <v>13</v>
      </c>
      <c r="E151" s="356" t="s">
        <v>58</v>
      </c>
      <c r="F151" s="264">
        <f>E145</f>
        <v>2481080.3435</v>
      </c>
      <c r="G151" s="434">
        <v>0</v>
      </c>
      <c r="H151" s="265">
        <f>+G151*F151</f>
        <v>0</v>
      </c>
      <c r="I151" s="83"/>
      <c r="J151" s="26"/>
      <c r="K151" s="12"/>
      <c r="L151" s="12"/>
    </row>
    <row r="152" spans="1:12" s="29" customFormat="1">
      <c r="A152" s="103"/>
      <c r="B152" s="71"/>
      <c r="C152" s="17"/>
      <c r="D152" s="25" t="s">
        <v>136</v>
      </c>
      <c r="E152" s="352" t="s">
        <v>108</v>
      </c>
      <c r="F152" s="263">
        <f>+G146+G147+G151</f>
        <v>4</v>
      </c>
      <c r="G152" s="434" t="s">
        <v>127</v>
      </c>
      <c r="H152" s="265">
        <f>SUM(H146:H151)</f>
        <v>18657724.183119997</v>
      </c>
      <c r="I152" s="83"/>
      <c r="J152" s="26"/>
      <c r="K152" s="12"/>
      <c r="L152" s="12"/>
    </row>
    <row r="153" spans="1:12" s="29" customFormat="1">
      <c r="A153" s="103"/>
      <c r="B153" s="71"/>
      <c r="C153" s="17"/>
      <c r="D153" s="34" t="s">
        <v>126</v>
      </c>
      <c r="E153" s="352" t="s">
        <v>108</v>
      </c>
      <c r="F153" s="264"/>
      <c r="G153" s="434"/>
      <c r="H153" s="265">
        <f>H152*8.33%</f>
        <v>1554188.4244538958</v>
      </c>
      <c r="I153" s="84"/>
      <c r="J153" s="81"/>
      <c r="K153" s="12"/>
      <c r="L153" s="12"/>
    </row>
    <row r="154" spans="1:12" s="29" customFormat="1">
      <c r="A154" s="103"/>
      <c r="B154" s="71"/>
      <c r="C154" s="17"/>
      <c r="D154" s="34" t="s">
        <v>233</v>
      </c>
      <c r="E154" s="357"/>
      <c r="F154" s="264"/>
      <c r="G154" s="434"/>
      <c r="H154" s="265">
        <f>H152*7%</f>
        <v>1306040.6928184</v>
      </c>
      <c r="I154" s="85">
        <v>0</v>
      </c>
      <c r="J154" s="31">
        <f>+(H152+H153+H154)*C145</f>
        <v>21517953.300392292</v>
      </c>
      <c r="K154" s="12"/>
      <c r="L154" s="12"/>
    </row>
    <row r="155" spans="1:12" s="29" customFormat="1">
      <c r="A155" s="103"/>
      <c r="B155" s="71"/>
      <c r="C155" s="17"/>
      <c r="D155" s="32"/>
      <c r="E155" s="354"/>
      <c r="F155" s="263"/>
      <c r="G155" s="436"/>
      <c r="H155" s="267"/>
      <c r="I155" s="86"/>
      <c r="J155" s="26"/>
      <c r="K155" s="12"/>
      <c r="L155" s="12"/>
    </row>
    <row r="156" spans="1:12" s="29" customFormat="1" ht="15" customHeight="1">
      <c r="A156" s="103"/>
      <c r="B156" s="70"/>
      <c r="C156" s="3">
        <v>2</v>
      </c>
      <c r="D156" s="91" t="s">
        <v>146</v>
      </c>
      <c r="E156" s="355">
        <f>' Tablas SAT, AAA &amp; Sutep'!U9</f>
        <v>1204923.8432</v>
      </c>
      <c r="F156" s="263"/>
      <c r="G156" s="436"/>
      <c r="H156" s="267"/>
      <c r="I156" s="87"/>
      <c r="J156" s="45"/>
      <c r="K156" s="12"/>
      <c r="L156" s="12"/>
    </row>
    <row r="157" spans="1:12" s="29" customFormat="1">
      <c r="A157" s="103"/>
      <c r="B157" s="71"/>
      <c r="C157" s="17"/>
      <c r="D157" s="25" t="s">
        <v>83</v>
      </c>
      <c r="E157" s="356" t="s">
        <v>135</v>
      </c>
      <c r="F157" s="264">
        <f>E156</f>
        <v>1204923.8432</v>
      </c>
      <c r="G157" s="434">
        <v>1.5</v>
      </c>
      <c r="H157" s="265">
        <f>+G157*F157</f>
        <v>1807385.7648</v>
      </c>
      <c r="I157" s="86"/>
      <c r="J157" s="26"/>
      <c r="K157" s="12"/>
      <c r="L157" s="12"/>
    </row>
    <row r="158" spans="1:12" s="29" customFormat="1">
      <c r="A158" s="103"/>
      <c r="B158" s="71"/>
      <c r="C158" s="17"/>
      <c r="D158" s="25" t="s">
        <v>77</v>
      </c>
      <c r="E158" s="356" t="s">
        <v>135</v>
      </c>
      <c r="F158" s="264">
        <f>F157</f>
        <v>1204923.8432</v>
      </c>
      <c r="G158" s="434">
        <v>2</v>
      </c>
      <c r="H158" s="265">
        <f>+G158*F158</f>
        <v>2409847.6864</v>
      </c>
      <c r="I158" s="86"/>
      <c r="J158" s="26"/>
      <c r="K158" s="12"/>
      <c r="L158" s="12"/>
    </row>
    <row r="159" spans="1:12" s="29" customFormat="1">
      <c r="A159" s="103"/>
      <c r="B159" s="71"/>
      <c r="C159" s="17"/>
      <c r="D159" s="25" t="s">
        <v>137</v>
      </c>
      <c r="E159" s="350">
        <f>22*3</f>
        <v>66</v>
      </c>
      <c r="F159" s="264">
        <f>(F157/150)*2</f>
        <v>16065.651242666667</v>
      </c>
      <c r="G159" s="434">
        <f>+F163</f>
        <v>3.5</v>
      </c>
      <c r="H159" s="265">
        <f>+G159*F159*E159</f>
        <v>3711165.4370559999</v>
      </c>
      <c r="I159" s="86"/>
      <c r="J159" s="26"/>
      <c r="K159" s="12"/>
      <c r="L159" s="12"/>
    </row>
    <row r="160" spans="1:12" s="29" customFormat="1">
      <c r="A160" s="103"/>
      <c r="B160" s="71"/>
      <c r="C160" s="17"/>
      <c r="D160" s="25" t="s">
        <v>14</v>
      </c>
      <c r="E160" s="352" t="s">
        <v>110</v>
      </c>
      <c r="F160" s="264">
        <v>0</v>
      </c>
      <c r="G160" s="434"/>
      <c r="H160" s="265">
        <f>+G160*F160</f>
        <v>0</v>
      </c>
      <c r="I160" s="86"/>
      <c r="J160" s="26"/>
      <c r="K160" s="12"/>
      <c r="L160" s="12"/>
    </row>
    <row r="161" spans="1:12" s="29" customFormat="1">
      <c r="A161" s="103"/>
      <c r="B161" s="71"/>
      <c r="C161" s="17"/>
      <c r="D161" s="25" t="s">
        <v>15</v>
      </c>
      <c r="E161" s="352" t="s">
        <v>110</v>
      </c>
      <c r="F161" s="264">
        <v>0</v>
      </c>
      <c r="G161" s="434"/>
      <c r="H161" s="265">
        <f>+G161*F161</f>
        <v>0</v>
      </c>
      <c r="I161" s="86"/>
      <c r="J161" s="26"/>
      <c r="K161" s="12"/>
      <c r="L161" s="12"/>
    </row>
    <row r="162" spans="1:12" s="29" customFormat="1">
      <c r="A162" s="103"/>
      <c r="B162" s="71"/>
      <c r="C162" s="17"/>
      <c r="D162" s="25" t="s">
        <v>13</v>
      </c>
      <c r="E162" s="356" t="s">
        <v>58</v>
      </c>
      <c r="F162" s="264">
        <f>E156</f>
        <v>1204923.8432</v>
      </c>
      <c r="G162" s="434">
        <v>0</v>
      </c>
      <c r="H162" s="265">
        <f>+G162*F162</f>
        <v>0</v>
      </c>
      <c r="I162" s="86"/>
      <c r="J162" s="26"/>
      <c r="K162" s="12"/>
      <c r="L162" s="12"/>
    </row>
    <row r="163" spans="1:12" s="29" customFormat="1">
      <c r="A163" s="103"/>
      <c r="B163" s="71"/>
      <c r="C163" s="17"/>
      <c r="D163" s="25" t="s">
        <v>136</v>
      </c>
      <c r="E163" s="352" t="s">
        <v>108</v>
      </c>
      <c r="F163" s="263">
        <f>+G157+G158+G162</f>
        <v>3.5</v>
      </c>
      <c r="G163" s="434" t="s">
        <v>127</v>
      </c>
      <c r="H163" s="265">
        <f>SUM(H157:H162)</f>
        <v>7928398.8882560004</v>
      </c>
      <c r="I163" s="83"/>
      <c r="J163" s="26"/>
      <c r="K163" s="12"/>
      <c r="L163" s="12"/>
    </row>
    <row r="164" spans="1:12" s="29" customFormat="1">
      <c r="A164" s="103"/>
      <c r="B164" s="71"/>
      <c r="C164" s="17"/>
      <c r="D164" s="34" t="s">
        <v>126</v>
      </c>
      <c r="E164" s="352" t="s">
        <v>108</v>
      </c>
      <c r="F164" s="264"/>
      <c r="G164" s="434"/>
      <c r="H164" s="265">
        <f>H163*8.33%</f>
        <v>660435.62739172485</v>
      </c>
      <c r="I164" s="84"/>
      <c r="J164" s="81"/>
      <c r="K164" s="12"/>
      <c r="L164" s="12"/>
    </row>
    <row r="165" spans="1:12" s="29" customFormat="1">
      <c r="A165" s="103"/>
      <c r="B165" s="71"/>
      <c r="C165" s="17"/>
      <c r="D165" s="34" t="s">
        <v>233</v>
      </c>
      <c r="E165" s="357"/>
      <c r="F165" s="264"/>
      <c r="G165" s="434"/>
      <c r="H165" s="265">
        <f>H163*7%</f>
        <v>554987.92217792012</v>
      </c>
      <c r="I165" s="85">
        <v>0</v>
      </c>
      <c r="J165" s="31">
        <f>+(H163+H164+H165)*C156</f>
        <v>18287644.875651289</v>
      </c>
      <c r="K165" s="12"/>
      <c r="L165" s="12"/>
    </row>
    <row r="166" spans="1:12" s="29" customFormat="1">
      <c r="A166" s="103"/>
      <c r="B166" s="71"/>
      <c r="C166" s="17"/>
      <c r="D166" s="32"/>
      <c r="E166" s="354"/>
      <c r="F166" s="263"/>
      <c r="G166" s="436"/>
      <c r="H166" s="267"/>
      <c r="I166" s="86"/>
      <c r="J166" s="26"/>
      <c r="K166" s="12"/>
      <c r="L166" s="12"/>
    </row>
    <row r="167" spans="1:12" s="29" customFormat="1" ht="15" customHeight="1">
      <c r="A167" s="103"/>
      <c r="B167" s="70"/>
      <c r="C167" s="3">
        <v>1</v>
      </c>
      <c r="D167" s="91" t="s">
        <v>299</v>
      </c>
      <c r="E167" s="355">
        <f>' Tablas SAT, AAA &amp; Sutep'!U4</f>
        <v>2481080.3435</v>
      </c>
      <c r="F167" s="263"/>
      <c r="G167" s="437"/>
      <c r="H167" s="267"/>
      <c r="I167" s="82"/>
      <c r="J167" s="45"/>
      <c r="K167" s="12"/>
      <c r="L167" s="12"/>
    </row>
    <row r="168" spans="1:12" s="29" customFormat="1">
      <c r="A168" s="103"/>
      <c r="B168" s="71"/>
      <c r="C168" s="17"/>
      <c r="D168" s="25" t="s">
        <v>83</v>
      </c>
      <c r="E168" s="356" t="s">
        <v>135</v>
      </c>
      <c r="F168" s="264">
        <f>E167</f>
        <v>2481080.3435</v>
      </c>
      <c r="G168" s="434">
        <v>2</v>
      </c>
      <c r="H168" s="265">
        <f>+G168*F168</f>
        <v>4962160.6869999999</v>
      </c>
      <c r="I168" s="83"/>
      <c r="J168" s="26"/>
      <c r="K168" s="12"/>
      <c r="L168" s="12"/>
    </row>
    <row r="169" spans="1:12" s="29" customFormat="1">
      <c r="A169" s="103"/>
      <c r="B169" s="71"/>
      <c r="C169" s="17"/>
      <c r="D169" s="25" t="s">
        <v>77</v>
      </c>
      <c r="E169" s="356" t="s">
        <v>135</v>
      </c>
      <c r="F169" s="264">
        <f>F168</f>
        <v>2481080.3435</v>
      </c>
      <c r="G169" s="434">
        <v>2</v>
      </c>
      <c r="H169" s="265">
        <f>+G169*F169</f>
        <v>4962160.6869999999</v>
      </c>
      <c r="I169" s="83"/>
      <c r="J169" s="26"/>
      <c r="K169" s="12"/>
      <c r="L169" s="12"/>
    </row>
    <row r="170" spans="1:12" s="29" customFormat="1">
      <c r="A170" s="103"/>
      <c r="B170" s="71"/>
      <c r="C170" s="17"/>
      <c r="D170" s="25" t="s">
        <v>137</v>
      </c>
      <c r="E170" s="350">
        <f>22*3</f>
        <v>66</v>
      </c>
      <c r="F170" s="254">
        <f>(F169/150)*2</f>
        <v>33081.071246666666</v>
      </c>
      <c r="G170" s="315">
        <f>+F174</f>
        <v>4</v>
      </c>
      <c r="H170" s="252">
        <f>+G170*F170*E170</f>
        <v>8733402.8091199994</v>
      </c>
      <c r="I170" s="83"/>
      <c r="J170" s="26"/>
      <c r="K170" s="12"/>
      <c r="L170" s="12"/>
    </row>
    <row r="171" spans="1:12" s="29" customFormat="1">
      <c r="A171" s="103"/>
      <c r="B171" s="71"/>
      <c r="C171" s="17"/>
      <c r="D171" s="25" t="s">
        <v>14</v>
      </c>
      <c r="E171" s="352" t="s">
        <v>110</v>
      </c>
      <c r="F171" s="264">
        <v>0</v>
      </c>
      <c r="G171" s="434"/>
      <c r="H171" s="265">
        <f>+G171*F171</f>
        <v>0</v>
      </c>
      <c r="I171" s="83"/>
      <c r="J171" s="26"/>
      <c r="K171" s="12"/>
      <c r="L171" s="12"/>
    </row>
    <row r="172" spans="1:12" s="29" customFormat="1">
      <c r="A172" s="103"/>
      <c r="B172" s="71"/>
      <c r="C172" s="17"/>
      <c r="D172" s="25" t="s">
        <v>15</v>
      </c>
      <c r="E172" s="352" t="s">
        <v>110</v>
      </c>
      <c r="F172" s="264">
        <v>0</v>
      </c>
      <c r="G172" s="434"/>
      <c r="H172" s="265">
        <f>+G172*F172</f>
        <v>0</v>
      </c>
      <c r="I172" s="83"/>
      <c r="J172" s="26"/>
      <c r="K172" s="12"/>
      <c r="L172" s="12"/>
    </row>
    <row r="173" spans="1:12" s="29" customFormat="1">
      <c r="A173" s="103"/>
      <c r="B173" s="71"/>
      <c r="C173" s="17"/>
      <c r="D173" s="25" t="s">
        <v>13</v>
      </c>
      <c r="E173" s="356" t="s">
        <v>58</v>
      </c>
      <c r="F173" s="264">
        <f>E167</f>
        <v>2481080.3435</v>
      </c>
      <c r="G173" s="434">
        <v>0</v>
      </c>
      <c r="H173" s="265">
        <f>+G173*F173</f>
        <v>0</v>
      </c>
      <c r="I173" s="83"/>
      <c r="J173" s="26"/>
      <c r="K173" s="12"/>
      <c r="L173" s="12"/>
    </row>
    <row r="174" spans="1:12" s="29" customFormat="1">
      <c r="A174" s="103"/>
      <c r="B174" s="71"/>
      <c r="C174" s="17"/>
      <c r="D174" s="25" t="s">
        <v>136</v>
      </c>
      <c r="E174" s="352" t="s">
        <v>108</v>
      </c>
      <c r="F174" s="263">
        <f>+G168+G169+G173</f>
        <v>4</v>
      </c>
      <c r="G174" s="434" t="s">
        <v>127</v>
      </c>
      <c r="H174" s="265">
        <f>SUM(H168:H173)</f>
        <v>18657724.183119997</v>
      </c>
      <c r="I174" s="83"/>
      <c r="J174" s="26"/>
      <c r="K174" s="12"/>
      <c r="L174" s="12"/>
    </row>
    <row r="175" spans="1:12" s="29" customFormat="1">
      <c r="A175" s="103"/>
      <c r="B175" s="71"/>
      <c r="C175" s="17"/>
      <c r="D175" s="34" t="s">
        <v>126</v>
      </c>
      <c r="E175" s="352" t="s">
        <v>108</v>
      </c>
      <c r="F175" s="264"/>
      <c r="G175" s="434"/>
      <c r="H175" s="265">
        <f>H174*8.33%</f>
        <v>1554188.4244538958</v>
      </c>
      <c r="I175" s="84"/>
      <c r="J175" s="81"/>
      <c r="K175" s="12"/>
      <c r="L175" s="12"/>
    </row>
    <row r="176" spans="1:12" s="29" customFormat="1">
      <c r="A176" s="103"/>
      <c r="B176" s="71"/>
      <c r="C176" s="17"/>
      <c r="D176" s="34" t="s">
        <v>233</v>
      </c>
      <c r="E176" s="352" t="s">
        <v>108</v>
      </c>
      <c r="F176" s="264"/>
      <c r="G176" s="434"/>
      <c r="H176" s="265">
        <f>H174*7%</f>
        <v>1306040.6928184</v>
      </c>
      <c r="I176" s="85">
        <v>0</v>
      </c>
      <c r="J176" s="31">
        <f>+(H174+H175+H176)*C167</f>
        <v>21517953.300392292</v>
      </c>
      <c r="K176" s="12"/>
      <c r="L176" s="12"/>
    </row>
    <row r="177" spans="1:12" s="29" customFormat="1">
      <c r="A177" s="103"/>
      <c r="B177" s="71"/>
      <c r="C177" s="17"/>
      <c r="D177" s="32"/>
      <c r="E177" s="354"/>
      <c r="F177" s="263"/>
      <c r="G177" s="436"/>
      <c r="H177" s="267"/>
      <c r="I177" s="86"/>
      <c r="J177" s="26"/>
      <c r="K177" s="12"/>
      <c r="L177" s="12"/>
    </row>
    <row r="178" spans="1:12" s="29" customFormat="1" ht="15" customHeight="1">
      <c r="A178" s="103"/>
      <c r="B178" s="70"/>
      <c r="C178" s="3">
        <v>1</v>
      </c>
      <c r="D178" s="91" t="s">
        <v>144</v>
      </c>
      <c r="E178" s="355">
        <f>' Tablas SAT, AAA &amp; Sutep'!U9</f>
        <v>1204923.8432</v>
      </c>
      <c r="F178" s="263"/>
      <c r="G178" s="436"/>
      <c r="H178" s="267"/>
      <c r="I178" s="87"/>
      <c r="J178" s="45"/>
      <c r="K178" s="12"/>
      <c r="L178" s="12"/>
    </row>
    <row r="179" spans="1:12" s="29" customFormat="1">
      <c r="A179" s="103"/>
      <c r="B179" s="71"/>
      <c r="C179" s="17"/>
      <c r="D179" s="25" t="s">
        <v>83</v>
      </c>
      <c r="E179" s="361" t="s">
        <v>135</v>
      </c>
      <c r="F179" s="264">
        <f>E178</f>
        <v>1204923.8432</v>
      </c>
      <c r="G179" s="434">
        <v>2</v>
      </c>
      <c r="H179" s="265">
        <f>+G179*F179</f>
        <v>2409847.6864</v>
      </c>
      <c r="I179" s="86"/>
      <c r="J179" s="26"/>
      <c r="K179" s="12"/>
      <c r="L179" s="12"/>
    </row>
    <row r="180" spans="1:12" s="29" customFormat="1">
      <c r="A180" s="103"/>
      <c r="B180" s="71"/>
      <c r="C180" s="17"/>
      <c r="D180" s="25" t="s">
        <v>77</v>
      </c>
      <c r="E180" s="356" t="s">
        <v>135</v>
      </c>
      <c r="F180" s="264">
        <f>F179</f>
        <v>1204923.8432</v>
      </c>
      <c r="G180" s="434">
        <v>2</v>
      </c>
      <c r="H180" s="265">
        <f>+G180*F180</f>
        <v>2409847.6864</v>
      </c>
      <c r="I180" s="86"/>
      <c r="J180" s="26"/>
      <c r="K180" s="12"/>
      <c r="L180" s="12"/>
    </row>
    <row r="181" spans="1:12" s="29" customFormat="1">
      <c r="A181" s="103"/>
      <c r="B181" s="71"/>
      <c r="C181" s="17"/>
      <c r="D181" s="25" t="s">
        <v>137</v>
      </c>
      <c r="E181" s="350">
        <f>22*3</f>
        <v>66</v>
      </c>
      <c r="F181" s="264">
        <f>(F180/150)*2</f>
        <v>16065.651242666667</v>
      </c>
      <c r="G181" s="434">
        <f>+F185</f>
        <v>4</v>
      </c>
      <c r="H181" s="265">
        <f>+G181*F181*E181</f>
        <v>4241331.9280639999</v>
      </c>
      <c r="I181" s="86"/>
      <c r="J181" s="26"/>
      <c r="K181" s="12"/>
      <c r="L181" s="12"/>
    </row>
    <row r="182" spans="1:12" s="29" customFormat="1">
      <c r="A182" s="103"/>
      <c r="B182" s="71"/>
      <c r="C182" s="17"/>
      <c r="D182" s="25" t="s">
        <v>14</v>
      </c>
      <c r="E182" s="352" t="s">
        <v>110</v>
      </c>
      <c r="F182" s="264">
        <v>0</v>
      </c>
      <c r="G182" s="434"/>
      <c r="H182" s="265">
        <f>+G182*F182</f>
        <v>0</v>
      </c>
      <c r="I182" s="86"/>
      <c r="J182" s="26"/>
      <c r="K182" s="12"/>
      <c r="L182" s="12"/>
    </row>
    <row r="183" spans="1:12" s="29" customFormat="1">
      <c r="A183" s="103"/>
      <c r="B183" s="71"/>
      <c r="C183" s="17"/>
      <c r="D183" s="25" t="s">
        <v>15</v>
      </c>
      <c r="E183" s="352" t="s">
        <v>110</v>
      </c>
      <c r="F183" s="264">
        <v>0</v>
      </c>
      <c r="G183" s="434"/>
      <c r="H183" s="265">
        <f>+G183*F183</f>
        <v>0</v>
      </c>
      <c r="I183" s="86"/>
      <c r="J183" s="26"/>
      <c r="K183" s="12"/>
      <c r="L183" s="12"/>
    </row>
    <row r="184" spans="1:12" s="29" customFormat="1">
      <c r="A184" s="103"/>
      <c r="B184" s="71"/>
      <c r="C184" s="17"/>
      <c r="D184" s="25" t="s">
        <v>13</v>
      </c>
      <c r="E184" s="356" t="s">
        <v>58</v>
      </c>
      <c r="F184" s="264">
        <f>E178</f>
        <v>1204923.8432</v>
      </c>
      <c r="G184" s="434">
        <v>0</v>
      </c>
      <c r="H184" s="265">
        <f>+G184*F184</f>
        <v>0</v>
      </c>
      <c r="I184" s="86"/>
      <c r="J184" s="26"/>
      <c r="K184" s="12"/>
      <c r="L184" s="12"/>
    </row>
    <row r="185" spans="1:12" s="29" customFormat="1">
      <c r="A185" s="103"/>
      <c r="B185" s="71"/>
      <c r="C185" s="17"/>
      <c r="D185" s="25" t="s">
        <v>136</v>
      </c>
      <c r="E185" s="352" t="s">
        <v>108</v>
      </c>
      <c r="F185" s="263">
        <f>+G179+G180+G184</f>
        <v>4</v>
      </c>
      <c r="G185" s="434" t="s">
        <v>127</v>
      </c>
      <c r="H185" s="265">
        <f>SUM(H179:H184)</f>
        <v>9061027.3008639999</v>
      </c>
      <c r="I185" s="83"/>
      <c r="J185" s="26"/>
      <c r="K185" s="12"/>
      <c r="L185" s="12"/>
    </row>
    <row r="186" spans="1:12" s="29" customFormat="1">
      <c r="A186" s="103"/>
      <c r="B186" s="71"/>
      <c r="C186" s="17"/>
      <c r="D186" s="34" t="s">
        <v>126</v>
      </c>
      <c r="E186" s="352" t="s">
        <v>108</v>
      </c>
      <c r="F186" s="264"/>
      <c r="G186" s="434"/>
      <c r="H186" s="265">
        <f>H185*8.33%</f>
        <v>754783.57416197122</v>
      </c>
      <c r="I186" s="84"/>
      <c r="J186" s="81"/>
      <c r="K186" s="12"/>
      <c r="L186" s="12"/>
    </row>
    <row r="187" spans="1:12" s="29" customFormat="1">
      <c r="A187" s="103"/>
      <c r="B187" s="71"/>
      <c r="C187" s="17"/>
      <c r="D187" s="34" t="s">
        <v>233</v>
      </c>
      <c r="E187" s="352" t="s">
        <v>108</v>
      </c>
      <c r="F187" s="264"/>
      <c r="G187" s="434"/>
      <c r="H187" s="265">
        <f>H185*7%</f>
        <v>634271.91106048005</v>
      </c>
      <c r="I187" s="85">
        <v>0</v>
      </c>
      <c r="J187" s="31">
        <f>+(H185+H186+H187)*C178</f>
        <v>10450082.786086451</v>
      </c>
      <c r="K187" s="12"/>
      <c r="L187" s="12"/>
    </row>
    <row r="188" spans="1:12" s="29" customFormat="1">
      <c r="A188" s="103"/>
      <c r="B188" s="71"/>
      <c r="C188" s="17"/>
      <c r="D188" s="32"/>
      <c r="E188" s="354"/>
      <c r="F188" s="263"/>
      <c r="G188" s="436"/>
      <c r="H188" s="267"/>
      <c r="I188" s="86"/>
      <c r="J188" s="26"/>
      <c r="K188" s="12"/>
      <c r="L188" s="12"/>
    </row>
    <row r="189" spans="1:12" s="29" customFormat="1" ht="15" customHeight="1">
      <c r="A189" s="103"/>
      <c r="B189" s="70"/>
      <c r="C189" s="3">
        <v>1</v>
      </c>
      <c r="D189" s="91" t="s">
        <v>310</v>
      </c>
      <c r="E189" s="355">
        <f>' Tablas SAT, AAA &amp; Sutep'!U4</f>
        <v>2481080.3435</v>
      </c>
      <c r="F189" s="263"/>
      <c r="G189" s="436"/>
      <c r="H189" s="267"/>
      <c r="I189" s="87"/>
      <c r="J189" s="45"/>
      <c r="K189" s="12"/>
      <c r="L189" s="12"/>
    </row>
    <row r="190" spans="1:12" s="29" customFormat="1">
      <c r="A190" s="103"/>
      <c r="B190" s="71"/>
      <c r="C190" s="17"/>
      <c r="D190" s="25" t="s">
        <v>83</v>
      </c>
      <c r="E190" s="349" t="s">
        <v>135</v>
      </c>
      <c r="F190" s="254">
        <f>E189</f>
        <v>2481080.3435</v>
      </c>
      <c r="G190" s="315">
        <v>1.5</v>
      </c>
      <c r="H190" s="252">
        <f t="shared" ref="H190:H195" si="3">+G190*F190</f>
        <v>3721620.5152500002</v>
      </c>
      <c r="I190" s="86"/>
      <c r="J190" s="26"/>
      <c r="K190" s="12"/>
      <c r="L190" s="12"/>
    </row>
    <row r="191" spans="1:12" s="29" customFormat="1">
      <c r="A191" s="103"/>
      <c r="B191" s="71"/>
      <c r="C191" s="17"/>
      <c r="D191" s="25" t="s">
        <v>77</v>
      </c>
      <c r="E191" s="356" t="s">
        <v>135</v>
      </c>
      <c r="F191" s="264">
        <f>F190</f>
        <v>2481080.3435</v>
      </c>
      <c r="G191" s="434">
        <v>2</v>
      </c>
      <c r="H191" s="265">
        <f>+G191*F191</f>
        <v>4962160.6869999999</v>
      </c>
      <c r="I191" s="86"/>
      <c r="J191" s="26"/>
      <c r="K191" s="12"/>
      <c r="L191" s="12"/>
    </row>
    <row r="192" spans="1:12" s="29" customFormat="1">
      <c r="A192" s="103"/>
      <c r="B192" s="71"/>
      <c r="C192" s="17"/>
      <c r="D192" s="25" t="s">
        <v>137</v>
      </c>
      <c r="E192" s="350">
        <f>22*3</f>
        <v>66</v>
      </c>
      <c r="F192" s="264">
        <f>(F191/150)*2</f>
        <v>33081.071246666666</v>
      </c>
      <c r="G192" s="434">
        <f>+F196</f>
        <v>3.5</v>
      </c>
      <c r="H192" s="265">
        <f>+G192*F192*E192</f>
        <v>7641727.4579800004</v>
      </c>
      <c r="I192" s="86"/>
      <c r="J192" s="26"/>
      <c r="K192" s="12"/>
      <c r="L192" s="12"/>
    </row>
    <row r="193" spans="1:12" s="29" customFormat="1">
      <c r="A193" s="103"/>
      <c r="B193" s="71"/>
      <c r="C193" s="17"/>
      <c r="D193" s="25" t="s">
        <v>14</v>
      </c>
      <c r="E193" s="352" t="s">
        <v>110</v>
      </c>
      <c r="F193" s="264">
        <v>0</v>
      </c>
      <c r="G193" s="434"/>
      <c r="H193" s="265">
        <f t="shared" si="3"/>
        <v>0</v>
      </c>
      <c r="I193" s="86"/>
      <c r="J193" s="26"/>
      <c r="K193" s="12"/>
      <c r="L193" s="12"/>
    </row>
    <row r="194" spans="1:12" s="29" customFormat="1">
      <c r="A194" s="103"/>
      <c r="B194" s="71"/>
      <c r="C194" s="17"/>
      <c r="D194" s="25" t="s">
        <v>15</v>
      </c>
      <c r="E194" s="352" t="s">
        <v>110</v>
      </c>
      <c r="F194" s="264">
        <v>0</v>
      </c>
      <c r="G194" s="434"/>
      <c r="H194" s="265">
        <f t="shared" si="3"/>
        <v>0</v>
      </c>
      <c r="I194" s="86"/>
      <c r="J194" s="26"/>
      <c r="K194" s="12"/>
      <c r="L194" s="12"/>
    </row>
    <row r="195" spans="1:12" s="29" customFormat="1">
      <c r="A195" s="103"/>
      <c r="B195" s="71"/>
      <c r="C195" s="17"/>
      <c r="D195" s="25" t="s">
        <v>13</v>
      </c>
      <c r="E195" s="356" t="s">
        <v>58</v>
      </c>
      <c r="F195" s="264">
        <f>E189</f>
        <v>2481080.3435</v>
      </c>
      <c r="G195" s="434">
        <v>0</v>
      </c>
      <c r="H195" s="265">
        <f t="shared" si="3"/>
        <v>0</v>
      </c>
      <c r="I195" s="86"/>
      <c r="J195" s="26"/>
      <c r="K195" s="12"/>
      <c r="L195" s="12"/>
    </row>
    <row r="196" spans="1:12" s="29" customFormat="1">
      <c r="A196" s="103"/>
      <c r="B196" s="71"/>
      <c r="C196" s="17"/>
      <c r="D196" s="25" t="s">
        <v>136</v>
      </c>
      <c r="E196" s="352" t="s">
        <v>108</v>
      </c>
      <c r="F196" s="263">
        <f>+G190+G191+G195</f>
        <v>3.5</v>
      </c>
      <c r="G196" s="434" t="s">
        <v>127</v>
      </c>
      <c r="H196" s="265">
        <f>SUM(H190:H195)</f>
        <v>16325508.66023</v>
      </c>
      <c r="I196" s="83"/>
      <c r="J196" s="26"/>
      <c r="K196" s="12"/>
      <c r="L196" s="12"/>
    </row>
    <row r="197" spans="1:12" s="29" customFormat="1">
      <c r="A197" s="103"/>
      <c r="B197" s="71"/>
      <c r="C197" s="17"/>
      <c r="D197" s="34" t="s">
        <v>126</v>
      </c>
      <c r="E197" s="352" t="s">
        <v>108</v>
      </c>
      <c r="F197" s="264"/>
      <c r="G197" s="434"/>
      <c r="H197" s="265">
        <f>H196*8.33%</f>
        <v>1359914.8713971591</v>
      </c>
      <c r="I197" s="84"/>
      <c r="J197" s="81"/>
      <c r="K197" s="12"/>
      <c r="L197" s="12"/>
    </row>
    <row r="198" spans="1:12" s="29" customFormat="1">
      <c r="A198" s="103"/>
      <c r="B198" s="71"/>
      <c r="C198" s="17"/>
      <c r="D198" s="34" t="s">
        <v>233</v>
      </c>
      <c r="E198" s="357"/>
      <c r="F198" s="264"/>
      <c r="G198" s="434"/>
      <c r="H198" s="265">
        <f>H196*7%</f>
        <v>1142785.6062161</v>
      </c>
      <c r="I198" s="85">
        <v>0</v>
      </c>
      <c r="J198" s="31">
        <f>+(H196+H197+H198)*C189</f>
        <v>18828209.137843259</v>
      </c>
      <c r="K198" s="12"/>
      <c r="L198" s="12"/>
    </row>
    <row r="199" spans="1:12" s="29" customFormat="1">
      <c r="A199" s="103"/>
      <c r="B199" s="71"/>
      <c r="C199" s="17"/>
      <c r="D199" s="32"/>
      <c r="E199" s="354"/>
      <c r="F199" s="263"/>
      <c r="G199" s="436"/>
      <c r="H199" s="267"/>
      <c r="I199" s="86"/>
      <c r="J199" s="26"/>
      <c r="K199" s="12"/>
      <c r="L199" s="12"/>
    </row>
    <row r="200" spans="1:12" s="29" customFormat="1" ht="15" customHeight="1">
      <c r="A200" s="103"/>
      <c r="B200" s="70"/>
      <c r="C200" s="3">
        <v>1</v>
      </c>
      <c r="D200" s="91" t="s">
        <v>355</v>
      </c>
      <c r="E200" s="355">
        <f>' Tablas SAT, AAA &amp; Sutep'!U6</f>
        <v>1533732.5920000002</v>
      </c>
      <c r="F200" s="263"/>
      <c r="G200" s="436"/>
      <c r="H200" s="267"/>
      <c r="I200" s="87"/>
      <c r="J200" s="45"/>
      <c r="K200" s="12"/>
      <c r="L200" s="12"/>
    </row>
    <row r="201" spans="1:12" s="29" customFormat="1">
      <c r="A201" s="103"/>
      <c r="B201" s="71"/>
      <c r="C201" s="17"/>
      <c r="D201" s="25" t="s">
        <v>83</v>
      </c>
      <c r="E201" s="356" t="s">
        <v>135</v>
      </c>
      <c r="F201" s="264">
        <f>E200</f>
        <v>1533732.5920000002</v>
      </c>
      <c r="G201" s="434">
        <v>1</v>
      </c>
      <c r="H201" s="265">
        <f>+G201*F201</f>
        <v>1533732.5920000002</v>
      </c>
      <c r="I201" s="86"/>
      <c r="J201" s="26"/>
      <c r="K201" s="12"/>
      <c r="L201" s="12"/>
    </row>
    <row r="202" spans="1:12" s="29" customFormat="1">
      <c r="A202" s="103"/>
      <c r="B202" s="71"/>
      <c r="C202" s="17"/>
      <c r="D202" s="25" t="s">
        <v>77</v>
      </c>
      <c r="E202" s="356" t="s">
        <v>135</v>
      </c>
      <c r="F202" s="264">
        <f>F201</f>
        <v>1533732.5920000002</v>
      </c>
      <c r="G202" s="434">
        <v>2</v>
      </c>
      <c r="H202" s="265">
        <f>+G202*F202</f>
        <v>3067465.1840000004</v>
      </c>
      <c r="I202" s="86"/>
      <c r="J202" s="26"/>
      <c r="K202" s="12"/>
      <c r="L202" s="12"/>
    </row>
    <row r="203" spans="1:12" s="29" customFormat="1">
      <c r="A203" s="103"/>
      <c r="B203" s="71"/>
      <c r="C203" s="17"/>
      <c r="D203" s="25" t="s">
        <v>137</v>
      </c>
      <c r="E203" s="350">
        <f>22*3</f>
        <v>66</v>
      </c>
      <c r="F203" s="264">
        <f>(F202/150)*2</f>
        <v>20449.767893333337</v>
      </c>
      <c r="G203" s="434">
        <f>+F207</f>
        <v>3</v>
      </c>
      <c r="H203" s="265">
        <f>+G203*F203*E203</f>
        <v>4049054.0428800005</v>
      </c>
      <c r="I203" s="86"/>
      <c r="J203" s="26"/>
      <c r="K203" s="12"/>
      <c r="L203" s="12"/>
    </row>
    <row r="204" spans="1:12" s="29" customFormat="1">
      <c r="A204" s="103"/>
      <c r="B204" s="71"/>
      <c r="C204" s="17"/>
      <c r="D204" s="25" t="s">
        <v>14</v>
      </c>
      <c r="E204" s="352" t="s">
        <v>110</v>
      </c>
      <c r="F204" s="264">
        <v>0</v>
      </c>
      <c r="G204" s="434"/>
      <c r="H204" s="265">
        <f>+G204*F204</f>
        <v>0</v>
      </c>
      <c r="I204" s="86"/>
      <c r="J204" s="26"/>
      <c r="K204" s="12"/>
      <c r="L204" s="12"/>
    </row>
    <row r="205" spans="1:12" s="29" customFormat="1">
      <c r="A205" s="103"/>
      <c r="B205" s="71"/>
      <c r="C205" s="17"/>
      <c r="D205" s="25" t="s">
        <v>15</v>
      </c>
      <c r="E205" s="352" t="s">
        <v>110</v>
      </c>
      <c r="F205" s="264">
        <v>0</v>
      </c>
      <c r="G205" s="434"/>
      <c r="H205" s="265">
        <f>+G205*F205</f>
        <v>0</v>
      </c>
      <c r="I205" s="86"/>
      <c r="J205" s="26"/>
      <c r="K205" s="12"/>
      <c r="L205" s="12"/>
    </row>
    <row r="206" spans="1:12" s="29" customFormat="1">
      <c r="A206" s="103"/>
      <c r="B206" s="71"/>
      <c r="C206" s="17"/>
      <c r="D206" s="25" t="s">
        <v>13</v>
      </c>
      <c r="E206" s="356" t="s">
        <v>58</v>
      </c>
      <c r="F206" s="264">
        <f>E200</f>
        <v>1533732.5920000002</v>
      </c>
      <c r="G206" s="434">
        <v>0</v>
      </c>
      <c r="H206" s="265">
        <f>+G206*F206</f>
        <v>0</v>
      </c>
      <c r="I206" s="86"/>
      <c r="J206" s="26"/>
      <c r="K206" s="12"/>
      <c r="L206" s="12"/>
    </row>
    <row r="207" spans="1:12" s="29" customFormat="1">
      <c r="A207" s="103"/>
      <c r="B207" s="71"/>
      <c r="C207" s="17"/>
      <c r="D207" s="25" t="s">
        <v>136</v>
      </c>
      <c r="E207" s="352" t="s">
        <v>108</v>
      </c>
      <c r="F207" s="263">
        <f>+G201+G202+G206</f>
        <v>3</v>
      </c>
      <c r="G207" s="434" t="s">
        <v>127</v>
      </c>
      <c r="H207" s="265">
        <f>SUM(H201:H206)</f>
        <v>8650251.8188800011</v>
      </c>
      <c r="I207" s="83"/>
      <c r="J207" s="26"/>
      <c r="K207" s="12"/>
      <c r="L207" s="12"/>
    </row>
    <row r="208" spans="1:12" s="29" customFormat="1">
      <c r="A208" s="103"/>
      <c r="B208" s="71"/>
      <c r="C208" s="17"/>
      <c r="D208" s="34" t="s">
        <v>126</v>
      </c>
      <c r="E208" s="352" t="s">
        <v>108</v>
      </c>
      <c r="F208" s="264"/>
      <c r="G208" s="434"/>
      <c r="H208" s="265">
        <f>H207*8.33%</f>
        <v>720565.97651270404</v>
      </c>
      <c r="I208" s="84"/>
      <c r="J208" s="81"/>
      <c r="K208" s="12"/>
      <c r="L208" s="12"/>
    </row>
    <row r="209" spans="1:12" s="29" customFormat="1">
      <c r="A209" s="103"/>
      <c r="B209" s="71"/>
      <c r="C209" s="17"/>
      <c r="D209" s="34" t="s">
        <v>233</v>
      </c>
      <c r="E209" s="357"/>
      <c r="F209" s="264"/>
      <c r="G209" s="434"/>
      <c r="H209" s="265">
        <f>H207*7%</f>
        <v>605517.6273216001</v>
      </c>
      <c r="I209" s="85">
        <v>0</v>
      </c>
      <c r="J209" s="31">
        <f>+(H207+H208+H209)*C200</f>
        <v>9976335.422714306</v>
      </c>
      <c r="K209" s="12"/>
      <c r="L209" s="12"/>
    </row>
    <row r="210" spans="1:12" s="29" customFormat="1">
      <c r="A210" s="103"/>
      <c r="B210" s="71"/>
      <c r="C210" s="17"/>
      <c r="D210" s="32"/>
      <c r="E210" s="358"/>
      <c r="F210" s="263"/>
      <c r="G210" s="436"/>
      <c r="H210" s="267"/>
      <c r="I210" s="86"/>
      <c r="J210" s="26"/>
      <c r="K210" s="12"/>
      <c r="L210" s="12"/>
    </row>
    <row r="211" spans="1:12" s="29" customFormat="1" ht="15" customHeight="1">
      <c r="A211" s="103"/>
      <c r="B211" s="70"/>
      <c r="C211" s="3">
        <v>1</v>
      </c>
      <c r="D211" s="91" t="s">
        <v>300</v>
      </c>
      <c r="E211" s="355">
        <f>' Tablas SAT, AAA &amp; Sutep'!U4</f>
        <v>2481080.3435</v>
      </c>
      <c r="F211" s="263"/>
      <c r="G211" s="437"/>
      <c r="H211" s="267"/>
      <c r="I211" s="82"/>
      <c r="J211" s="45"/>
      <c r="K211" s="12"/>
      <c r="L211" s="12"/>
    </row>
    <row r="212" spans="1:12" s="29" customFormat="1">
      <c r="A212" s="103"/>
      <c r="B212" s="71"/>
      <c r="C212" s="17"/>
      <c r="D212" s="25" t="s">
        <v>83</v>
      </c>
      <c r="E212" s="349" t="s">
        <v>135</v>
      </c>
      <c r="F212" s="254">
        <f>E211</f>
        <v>2481080.3435</v>
      </c>
      <c r="G212" s="315">
        <v>1</v>
      </c>
      <c r="H212" s="252">
        <f>+G212*F212</f>
        <v>2481080.3435</v>
      </c>
      <c r="I212" s="83"/>
      <c r="J212" s="26"/>
      <c r="K212" s="12"/>
      <c r="L212" s="12"/>
    </row>
    <row r="213" spans="1:12" s="29" customFormat="1">
      <c r="A213" s="103"/>
      <c r="B213" s="71"/>
      <c r="C213" s="17"/>
      <c r="D213" s="25" t="s">
        <v>77</v>
      </c>
      <c r="E213" s="356" t="s">
        <v>135</v>
      </c>
      <c r="F213" s="264">
        <f>F212</f>
        <v>2481080.3435</v>
      </c>
      <c r="G213" s="434">
        <v>2</v>
      </c>
      <c r="H213" s="265">
        <f>+G213*F213</f>
        <v>4962160.6869999999</v>
      </c>
      <c r="I213" s="83"/>
      <c r="J213" s="26"/>
      <c r="K213" s="12"/>
      <c r="L213" s="12"/>
    </row>
    <row r="214" spans="1:12" s="29" customFormat="1">
      <c r="A214" s="103"/>
      <c r="B214" s="71"/>
      <c r="C214" s="17"/>
      <c r="D214" s="25" t="s">
        <v>137</v>
      </c>
      <c r="E214" s="350">
        <f>22*3</f>
        <v>66</v>
      </c>
      <c r="F214" s="264">
        <f>(F213/150)*2</f>
        <v>33081.071246666666</v>
      </c>
      <c r="G214" s="434">
        <f>+F218</f>
        <v>3</v>
      </c>
      <c r="H214" s="265">
        <f>+G214*F214*E214</f>
        <v>6550052.1068400005</v>
      </c>
      <c r="I214" s="83"/>
      <c r="J214" s="26"/>
      <c r="K214" s="12"/>
      <c r="L214" s="12"/>
    </row>
    <row r="215" spans="1:12" s="29" customFormat="1">
      <c r="A215" s="103"/>
      <c r="B215" s="71"/>
      <c r="C215" s="17"/>
      <c r="D215" s="25" t="s">
        <v>14</v>
      </c>
      <c r="E215" s="352" t="s">
        <v>110</v>
      </c>
      <c r="F215" s="264">
        <v>0</v>
      </c>
      <c r="G215" s="434"/>
      <c r="H215" s="265">
        <f>+G215*F215</f>
        <v>0</v>
      </c>
      <c r="I215" s="83"/>
      <c r="J215" s="26"/>
      <c r="K215" s="12"/>
      <c r="L215" s="12"/>
    </row>
    <row r="216" spans="1:12" s="29" customFormat="1">
      <c r="A216" s="103"/>
      <c r="B216" s="71"/>
      <c r="C216" s="17"/>
      <c r="D216" s="25" t="s">
        <v>15</v>
      </c>
      <c r="E216" s="352" t="s">
        <v>110</v>
      </c>
      <c r="F216" s="264">
        <v>0</v>
      </c>
      <c r="G216" s="434"/>
      <c r="H216" s="265">
        <f>+G216*F216</f>
        <v>0</v>
      </c>
      <c r="I216" s="83"/>
      <c r="J216" s="26"/>
      <c r="K216" s="12"/>
      <c r="L216" s="12"/>
    </row>
    <row r="217" spans="1:12" s="29" customFormat="1">
      <c r="A217" s="103"/>
      <c r="B217" s="71"/>
      <c r="C217" s="17"/>
      <c r="D217" s="25" t="s">
        <v>13</v>
      </c>
      <c r="E217" s="356" t="s">
        <v>58</v>
      </c>
      <c r="F217" s="264">
        <f>E211</f>
        <v>2481080.3435</v>
      </c>
      <c r="G217" s="434">
        <v>0</v>
      </c>
      <c r="H217" s="265">
        <f>+G217*F217</f>
        <v>0</v>
      </c>
      <c r="I217" s="83"/>
      <c r="J217" s="26"/>
      <c r="K217" s="12"/>
      <c r="L217" s="12"/>
    </row>
    <row r="218" spans="1:12" s="29" customFormat="1">
      <c r="A218" s="103"/>
      <c r="B218" s="71"/>
      <c r="C218" s="17"/>
      <c r="D218" s="25" t="s">
        <v>136</v>
      </c>
      <c r="E218" s="352" t="s">
        <v>108</v>
      </c>
      <c r="F218" s="263">
        <f>+G212+G213+G217</f>
        <v>3</v>
      </c>
      <c r="G218" s="434" t="s">
        <v>127</v>
      </c>
      <c r="H218" s="265">
        <f>SUM(H212:H217)</f>
        <v>13993293.137340002</v>
      </c>
      <c r="I218" s="83"/>
      <c r="J218" s="26"/>
      <c r="K218" s="12"/>
      <c r="L218" s="12"/>
    </row>
    <row r="219" spans="1:12" s="29" customFormat="1">
      <c r="A219" s="103"/>
      <c r="B219" s="71"/>
      <c r="C219" s="17"/>
      <c r="D219" s="34" t="s">
        <v>126</v>
      </c>
      <c r="E219" s="352" t="s">
        <v>108</v>
      </c>
      <c r="F219" s="264"/>
      <c r="G219" s="434"/>
      <c r="H219" s="265">
        <f>H218*8.33%</f>
        <v>1165641.3183404221</v>
      </c>
      <c r="I219" s="84"/>
      <c r="J219" s="81"/>
      <c r="K219" s="12"/>
      <c r="L219" s="12"/>
    </row>
    <row r="220" spans="1:12" s="29" customFormat="1">
      <c r="A220" s="103"/>
      <c r="B220" s="71"/>
      <c r="C220" s="17"/>
      <c r="D220" s="34" t="s">
        <v>233</v>
      </c>
      <c r="E220" s="357"/>
      <c r="F220" s="264"/>
      <c r="G220" s="434"/>
      <c r="H220" s="265">
        <f>H218*7%</f>
        <v>979530.51961380022</v>
      </c>
      <c r="I220" s="85">
        <v>0</v>
      </c>
      <c r="J220" s="31">
        <f>+(H218+H219+H220)*C211</f>
        <v>16138464.975294225</v>
      </c>
      <c r="K220" s="12"/>
      <c r="L220" s="12"/>
    </row>
    <row r="221" spans="1:12" s="29" customFormat="1">
      <c r="A221" s="103"/>
      <c r="B221" s="71"/>
      <c r="C221" s="17"/>
      <c r="D221" s="32"/>
      <c r="E221" s="354"/>
      <c r="F221" s="263"/>
      <c r="G221" s="436"/>
      <c r="H221" s="267"/>
      <c r="I221" s="86"/>
      <c r="J221" s="26"/>
      <c r="K221" s="12"/>
      <c r="L221" s="12"/>
    </row>
    <row r="222" spans="1:12" s="29" customFormat="1" ht="15" customHeight="1">
      <c r="A222" s="103"/>
      <c r="B222" s="70"/>
      <c r="C222" s="3">
        <v>1</v>
      </c>
      <c r="D222" s="91" t="s">
        <v>301</v>
      </c>
      <c r="E222" s="355">
        <f>' Tablas SAT, AAA &amp; Sutep'!U4</f>
        <v>2481080.3435</v>
      </c>
      <c r="F222" s="263"/>
      <c r="G222" s="436"/>
      <c r="H222" s="267"/>
      <c r="I222" s="87"/>
      <c r="J222" s="45"/>
      <c r="K222" s="12"/>
      <c r="L222" s="12"/>
    </row>
    <row r="223" spans="1:12" s="29" customFormat="1">
      <c r="A223" s="103"/>
      <c r="B223" s="71"/>
      <c r="C223" s="17"/>
      <c r="D223" s="25" t="s">
        <v>83</v>
      </c>
      <c r="E223" s="356" t="s">
        <v>135</v>
      </c>
      <c r="F223" s="264">
        <f>E222</f>
        <v>2481080.3435</v>
      </c>
      <c r="G223" s="434">
        <v>1</v>
      </c>
      <c r="H223" s="265">
        <f t="shared" ref="H223:H228" si="4">+G223*F223</f>
        <v>2481080.3435</v>
      </c>
      <c r="I223" s="86"/>
      <c r="J223" s="26"/>
      <c r="K223" s="12"/>
      <c r="L223" s="12"/>
    </row>
    <row r="224" spans="1:12" s="29" customFormat="1">
      <c r="A224" s="103"/>
      <c r="B224" s="71"/>
      <c r="C224" s="17"/>
      <c r="D224" s="25" t="s">
        <v>77</v>
      </c>
      <c r="E224" s="356" t="s">
        <v>135</v>
      </c>
      <c r="F224" s="264">
        <f>F223</f>
        <v>2481080.3435</v>
      </c>
      <c r="G224" s="434">
        <v>2</v>
      </c>
      <c r="H224" s="265">
        <f t="shared" si="4"/>
        <v>4962160.6869999999</v>
      </c>
      <c r="I224" s="86"/>
      <c r="J224" s="26"/>
      <c r="K224" s="12"/>
      <c r="L224" s="12"/>
    </row>
    <row r="225" spans="1:12" s="29" customFormat="1">
      <c r="A225" s="103"/>
      <c r="B225" s="71"/>
      <c r="C225" s="17"/>
      <c r="D225" s="25" t="s">
        <v>137</v>
      </c>
      <c r="E225" s="350">
        <f>22*3</f>
        <v>66</v>
      </c>
      <c r="F225" s="268">
        <f>(F223/150)*2</f>
        <v>33081.071246666666</v>
      </c>
      <c r="G225" s="434">
        <f>+F229</f>
        <v>3</v>
      </c>
      <c r="H225" s="265">
        <f>+G225*F225*E225</f>
        <v>6550052.1068400005</v>
      </c>
      <c r="I225" s="86"/>
      <c r="J225" s="26"/>
      <c r="K225" s="12"/>
      <c r="L225" s="12"/>
    </row>
    <row r="226" spans="1:12" s="29" customFormat="1">
      <c r="A226" s="103"/>
      <c r="B226" s="71"/>
      <c r="C226" s="17"/>
      <c r="D226" s="25" t="s">
        <v>14</v>
      </c>
      <c r="E226" s="352" t="s">
        <v>110</v>
      </c>
      <c r="F226" s="264">
        <v>0</v>
      </c>
      <c r="G226" s="434"/>
      <c r="H226" s="265">
        <f t="shared" si="4"/>
        <v>0</v>
      </c>
      <c r="I226" s="86"/>
      <c r="J226" s="26"/>
      <c r="K226" s="12"/>
      <c r="L226" s="12"/>
    </row>
    <row r="227" spans="1:12" s="29" customFormat="1">
      <c r="A227" s="103"/>
      <c r="B227" s="71"/>
      <c r="C227" s="17"/>
      <c r="D227" s="25" t="s">
        <v>15</v>
      </c>
      <c r="E227" s="352" t="s">
        <v>110</v>
      </c>
      <c r="F227" s="264">
        <v>0</v>
      </c>
      <c r="G227" s="434"/>
      <c r="H227" s="265">
        <f t="shared" si="4"/>
        <v>0</v>
      </c>
      <c r="I227" s="86"/>
      <c r="J227" s="26"/>
      <c r="K227" s="12"/>
      <c r="L227" s="12"/>
    </row>
    <row r="228" spans="1:12" s="29" customFormat="1">
      <c r="A228" s="103"/>
      <c r="B228" s="71"/>
      <c r="C228" s="17"/>
      <c r="D228" s="25" t="s">
        <v>13</v>
      </c>
      <c r="E228" s="356" t="s">
        <v>58</v>
      </c>
      <c r="F228" s="264">
        <f>E222</f>
        <v>2481080.3435</v>
      </c>
      <c r="G228" s="434">
        <v>0</v>
      </c>
      <c r="H228" s="265">
        <f t="shared" si="4"/>
        <v>0</v>
      </c>
      <c r="I228" s="86"/>
      <c r="J228" s="26"/>
      <c r="K228" s="12"/>
      <c r="L228" s="12"/>
    </row>
    <row r="229" spans="1:12" s="29" customFormat="1">
      <c r="A229" s="103"/>
      <c r="B229" s="71"/>
      <c r="C229" s="17"/>
      <c r="D229" s="25" t="s">
        <v>136</v>
      </c>
      <c r="E229" s="352" t="s">
        <v>108</v>
      </c>
      <c r="F229" s="263">
        <f>+G223+G224+G228</f>
        <v>3</v>
      </c>
      <c r="G229" s="434" t="s">
        <v>127</v>
      </c>
      <c r="H229" s="265">
        <f>SUM(H223:H228)</f>
        <v>13993293.137340002</v>
      </c>
      <c r="I229" s="83"/>
      <c r="J229" s="26"/>
      <c r="K229" s="12"/>
      <c r="L229" s="12"/>
    </row>
    <row r="230" spans="1:12" s="29" customFormat="1">
      <c r="A230" s="103"/>
      <c r="B230" s="71"/>
      <c r="C230" s="17"/>
      <c r="D230" s="34" t="s">
        <v>126</v>
      </c>
      <c r="E230" s="352" t="s">
        <v>108</v>
      </c>
      <c r="F230" s="264"/>
      <c r="G230" s="434"/>
      <c r="H230" s="265">
        <f>H229*8.33%</f>
        <v>1165641.3183404221</v>
      </c>
      <c r="I230" s="84"/>
      <c r="J230" s="81"/>
      <c r="K230" s="12"/>
      <c r="L230" s="12"/>
    </row>
    <row r="231" spans="1:12" s="29" customFormat="1">
      <c r="A231" s="103"/>
      <c r="B231" s="71"/>
      <c r="C231" s="17"/>
      <c r="D231" s="34" t="s">
        <v>233</v>
      </c>
      <c r="E231" s="357"/>
      <c r="F231" s="264"/>
      <c r="G231" s="434"/>
      <c r="H231" s="265">
        <f>H229*7%</f>
        <v>979530.51961380022</v>
      </c>
      <c r="I231" s="85">
        <v>0</v>
      </c>
      <c r="J231" s="31">
        <f>+(H229+H230+H231)*C222</f>
        <v>16138464.975294225</v>
      </c>
      <c r="K231" s="12"/>
      <c r="L231" s="12"/>
    </row>
    <row r="232" spans="1:12" s="29" customFormat="1">
      <c r="A232" s="103"/>
      <c r="B232" s="71"/>
      <c r="C232" s="17"/>
      <c r="D232" s="32"/>
      <c r="E232" s="354"/>
      <c r="F232" s="263"/>
      <c r="G232" s="436"/>
      <c r="H232" s="267"/>
      <c r="I232" s="86"/>
      <c r="J232" s="26"/>
      <c r="K232" s="12"/>
      <c r="L232" s="12"/>
    </row>
    <row r="233" spans="1:12" s="29" customFormat="1" ht="15" customHeight="1">
      <c r="A233" s="103"/>
      <c r="B233" s="70"/>
      <c r="C233" s="3">
        <v>2</v>
      </c>
      <c r="D233" s="91" t="s">
        <v>311</v>
      </c>
      <c r="E233" s="355">
        <f>' Tablas SAT, AAA &amp; Sutep'!U5</f>
        <v>1760747.4079999998</v>
      </c>
      <c r="F233" s="263"/>
      <c r="G233" s="436"/>
      <c r="H233" s="267"/>
      <c r="I233" s="87"/>
      <c r="J233" s="45"/>
      <c r="K233" s="12"/>
      <c r="L233" s="12"/>
    </row>
    <row r="234" spans="1:12" s="29" customFormat="1">
      <c r="A234" s="103"/>
      <c r="B234" s="71"/>
      <c r="C234" s="17"/>
      <c r="D234" s="25" t="s">
        <v>83</v>
      </c>
      <c r="E234" s="356" t="s">
        <v>135</v>
      </c>
      <c r="F234" s="264">
        <f>E233</f>
        <v>1760747.4079999998</v>
      </c>
      <c r="G234" s="434">
        <v>0.25</v>
      </c>
      <c r="H234" s="265">
        <f t="shared" ref="H234:H239" si="5">F234*G234</f>
        <v>440186.85199999996</v>
      </c>
      <c r="I234" s="86"/>
      <c r="J234" s="26"/>
      <c r="K234" s="12"/>
      <c r="L234" s="12"/>
    </row>
    <row r="235" spans="1:12" s="29" customFormat="1">
      <c r="A235" s="103"/>
      <c r="B235" s="71"/>
      <c r="C235" s="17"/>
      <c r="D235" s="25" t="s">
        <v>77</v>
      </c>
      <c r="E235" s="356" t="s">
        <v>135</v>
      </c>
      <c r="F235" s="264">
        <f>F234</f>
        <v>1760747.4079999998</v>
      </c>
      <c r="G235" s="434">
        <v>2</v>
      </c>
      <c r="H235" s="265">
        <f t="shared" si="5"/>
        <v>3521494.8159999996</v>
      </c>
      <c r="I235" s="86"/>
      <c r="J235" s="26"/>
      <c r="K235" s="12"/>
      <c r="L235" s="12"/>
    </row>
    <row r="236" spans="1:12" s="29" customFormat="1">
      <c r="A236" s="103"/>
      <c r="B236" s="71"/>
      <c r="C236" s="17"/>
      <c r="D236" s="25" t="s">
        <v>137</v>
      </c>
      <c r="E236" s="350">
        <f>22*3</f>
        <v>66</v>
      </c>
      <c r="F236" s="264">
        <f>(F235/150)*2</f>
        <v>23476.632106666664</v>
      </c>
      <c r="G236" s="434">
        <f>+F240</f>
        <v>2.25</v>
      </c>
      <c r="H236" s="265">
        <f>+F236*E236*G236</f>
        <v>3486279.8678399995</v>
      </c>
      <c r="I236" s="86"/>
      <c r="J236" s="26"/>
      <c r="K236" s="12"/>
      <c r="L236" s="12"/>
    </row>
    <row r="237" spans="1:12" s="29" customFormat="1">
      <c r="A237" s="103"/>
      <c r="B237" s="71"/>
      <c r="C237" s="17"/>
      <c r="D237" s="25" t="s">
        <v>14</v>
      </c>
      <c r="E237" s="352" t="s">
        <v>110</v>
      </c>
      <c r="F237" s="264">
        <v>0</v>
      </c>
      <c r="G237" s="434"/>
      <c r="H237" s="265">
        <f t="shared" si="5"/>
        <v>0</v>
      </c>
      <c r="I237" s="86"/>
      <c r="J237" s="26"/>
      <c r="K237" s="12"/>
      <c r="L237" s="12"/>
    </row>
    <row r="238" spans="1:12" s="29" customFormat="1">
      <c r="A238" s="103"/>
      <c r="B238" s="71"/>
      <c r="C238" s="17"/>
      <c r="D238" s="25" t="s">
        <v>15</v>
      </c>
      <c r="E238" s="352" t="s">
        <v>110</v>
      </c>
      <c r="F238" s="264">
        <v>0</v>
      </c>
      <c r="G238" s="434"/>
      <c r="H238" s="265">
        <f t="shared" si="5"/>
        <v>0</v>
      </c>
      <c r="I238" s="86"/>
      <c r="J238" s="26"/>
      <c r="K238" s="12"/>
      <c r="L238" s="12"/>
    </row>
    <row r="239" spans="1:12" s="29" customFormat="1">
      <c r="A239" s="103"/>
      <c r="B239" s="71"/>
      <c r="C239" s="17"/>
      <c r="D239" s="25" t="s">
        <v>13</v>
      </c>
      <c r="E239" s="356" t="s">
        <v>58</v>
      </c>
      <c r="F239" s="264">
        <f>E233</f>
        <v>1760747.4079999998</v>
      </c>
      <c r="G239" s="434">
        <v>0</v>
      </c>
      <c r="H239" s="265">
        <f t="shared" si="5"/>
        <v>0</v>
      </c>
      <c r="I239" s="86"/>
      <c r="J239" s="26"/>
      <c r="K239" s="12"/>
      <c r="L239" s="12"/>
    </row>
    <row r="240" spans="1:12" s="29" customFormat="1">
      <c r="A240" s="103"/>
      <c r="B240" s="71"/>
      <c r="C240" s="17"/>
      <c r="D240" s="25" t="s">
        <v>136</v>
      </c>
      <c r="E240" s="352" t="s">
        <v>108</v>
      </c>
      <c r="F240" s="263">
        <f>+G234+G235+G239</f>
        <v>2.25</v>
      </c>
      <c r="G240" s="434" t="s">
        <v>127</v>
      </c>
      <c r="H240" s="265">
        <f>SUM(H234:H239)</f>
        <v>7447961.5358399991</v>
      </c>
      <c r="I240" s="83"/>
      <c r="J240" s="26"/>
      <c r="K240" s="12"/>
      <c r="L240" s="12"/>
    </row>
    <row r="241" spans="1:12" s="29" customFormat="1">
      <c r="A241" s="103"/>
      <c r="B241" s="71"/>
      <c r="C241" s="17"/>
      <c r="D241" s="34" t="s">
        <v>126</v>
      </c>
      <c r="E241" s="352" t="s">
        <v>108</v>
      </c>
      <c r="F241" s="264"/>
      <c r="G241" s="434"/>
      <c r="H241" s="265">
        <f>H240*8.33%</f>
        <v>620415.19593547191</v>
      </c>
      <c r="I241" s="84"/>
      <c r="J241" s="81"/>
      <c r="K241" s="12"/>
      <c r="L241" s="12"/>
    </row>
    <row r="242" spans="1:12" s="29" customFormat="1">
      <c r="A242" s="103"/>
      <c r="B242" s="71"/>
      <c r="C242" s="17"/>
      <c r="D242" s="34" t="s">
        <v>233</v>
      </c>
      <c r="E242" s="357"/>
      <c r="F242" s="264"/>
      <c r="G242" s="434"/>
      <c r="H242" s="265">
        <f>H240*7%</f>
        <v>521357.3075088</v>
      </c>
      <c r="I242" s="85">
        <v>0</v>
      </c>
      <c r="J242" s="31">
        <f>+(H240+H241+H242)*C233</f>
        <v>17179468.078568541</v>
      </c>
      <c r="K242" s="12"/>
      <c r="L242" s="12"/>
    </row>
    <row r="243" spans="1:12" s="29" customFormat="1">
      <c r="A243" s="103"/>
      <c r="B243" s="71"/>
      <c r="C243" s="17"/>
      <c r="D243" s="32"/>
      <c r="E243" s="343"/>
      <c r="F243" s="261"/>
      <c r="G243" s="431"/>
      <c r="H243" s="262"/>
      <c r="I243" s="86"/>
      <c r="J243" s="26"/>
      <c r="K243" s="12"/>
      <c r="L243" s="12"/>
    </row>
    <row r="244" spans="1:12" s="29" customFormat="1" ht="15" customHeight="1">
      <c r="A244" s="103"/>
      <c r="B244" s="70"/>
      <c r="C244" s="3">
        <v>2</v>
      </c>
      <c r="D244" s="91" t="s">
        <v>356</v>
      </c>
      <c r="E244" s="359">
        <f>' Tablas SAT, AAA &amp; Sutep'!U5</f>
        <v>1760747.4079999998</v>
      </c>
      <c r="F244" s="261"/>
      <c r="G244" s="431"/>
      <c r="H244" s="262"/>
      <c r="I244" s="87"/>
      <c r="J244" s="45"/>
      <c r="K244" s="12"/>
      <c r="L244" s="12"/>
    </row>
    <row r="245" spans="1:12" s="29" customFormat="1">
      <c r="A245" s="103"/>
      <c r="B245" s="71"/>
      <c r="C245" s="17"/>
      <c r="D245" s="25" t="s">
        <v>83</v>
      </c>
      <c r="E245" s="349" t="s">
        <v>135</v>
      </c>
      <c r="F245" s="254">
        <f>E244</f>
        <v>1760747.4079999998</v>
      </c>
      <c r="G245" s="434">
        <v>0.25</v>
      </c>
      <c r="H245" s="252">
        <f>+G245*F245</f>
        <v>440186.85199999996</v>
      </c>
      <c r="I245" s="86"/>
      <c r="J245" s="26"/>
      <c r="K245" s="12"/>
      <c r="L245" s="12"/>
    </row>
    <row r="246" spans="1:12" s="29" customFormat="1">
      <c r="A246" s="103"/>
      <c r="B246" s="71"/>
      <c r="C246" s="17"/>
      <c r="D246" s="25" t="s">
        <v>77</v>
      </c>
      <c r="E246" s="356" t="s">
        <v>135</v>
      </c>
      <c r="F246" s="264">
        <f>F245</f>
        <v>1760747.4079999998</v>
      </c>
      <c r="G246" s="434">
        <v>2</v>
      </c>
      <c r="H246" s="265">
        <f>+G246*F246</f>
        <v>3521494.8159999996</v>
      </c>
      <c r="I246" s="86"/>
      <c r="J246" s="26"/>
      <c r="K246" s="12"/>
      <c r="L246" s="12"/>
    </row>
    <row r="247" spans="1:12" s="29" customFormat="1">
      <c r="A247" s="103"/>
      <c r="B247" s="71"/>
      <c r="C247" s="17"/>
      <c r="D247" s="25" t="s">
        <v>137</v>
      </c>
      <c r="E247" s="350">
        <f>22*3</f>
        <v>66</v>
      </c>
      <c r="F247" s="264">
        <f>(F246/150)*2</f>
        <v>23476.632106666664</v>
      </c>
      <c r="G247" s="434">
        <f>+F251</f>
        <v>2.25</v>
      </c>
      <c r="H247" s="265">
        <f>+G247*F247*E247</f>
        <v>3486279.8678399995</v>
      </c>
      <c r="I247" s="86"/>
      <c r="J247" s="26"/>
      <c r="K247" s="12"/>
      <c r="L247" s="12"/>
    </row>
    <row r="248" spans="1:12" s="29" customFormat="1">
      <c r="A248" s="103"/>
      <c r="B248" s="71"/>
      <c r="C248" s="17"/>
      <c r="D248" s="25" t="s">
        <v>14</v>
      </c>
      <c r="E248" s="352" t="s">
        <v>110</v>
      </c>
      <c r="F248" s="264">
        <v>0</v>
      </c>
      <c r="G248" s="434"/>
      <c r="H248" s="265">
        <f>+G248*F248</f>
        <v>0</v>
      </c>
      <c r="I248" s="86"/>
      <c r="J248" s="26"/>
      <c r="K248" s="12"/>
      <c r="L248" s="12"/>
    </row>
    <row r="249" spans="1:12" s="29" customFormat="1">
      <c r="A249" s="103"/>
      <c r="B249" s="71"/>
      <c r="C249" s="17"/>
      <c r="D249" s="25" t="s">
        <v>15</v>
      </c>
      <c r="E249" s="352" t="s">
        <v>110</v>
      </c>
      <c r="F249" s="264">
        <v>0</v>
      </c>
      <c r="G249" s="434"/>
      <c r="H249" s="265">
        <f>+G249*F249</f>
        <v>0</v>
      </c>
      <c r="I249" s="86"/>
      <c r="J249" s="26"/>
      <c r="K249" s="12"/>
      <c r="L249" s="12"/>
    </row>
    <row r="250" spans="1:12" s="29" customFormat="1">
      <c r="A250" s="103"/>
      <c r="B250" s="71"/>
      <c r="C250" s="17"/>
      <c r="D250" s="25" t="s">
        <v>13</v>
      </c>
      <c r="E250" s="356" t="s">
        <v>58</v>
      </c>
      <c r="F250" s="264">
        <f>E244</f>
        <v>1760747.4079999998</v>
      </c>
      <c r="G250" s="434">
        <v>0</v>
      </c>
      <c r="H250" s="265">
        <f>+G250*F250</f>
        <v>0</v>
      </c>
      <c r="I250" s="86"/>
      <c r="J250" s="26"/>
      <c r="K250" s="12"/>
      <c r="L250" s="12"/>
    </row>
    <row r="251" spans="1:12" s="29" customFormat="1">
      <c r="A251" s="103"/>
      <c r="B251" s="71"/>
      <c r="C251" s="17"/>
      <c r="D251" s="25" t="s">
        <v>136</v>
      </c>
      <c r="E251" s="352" t="s">
        <v>108</v>
      </c>
      <c r="F251" s="263">
        <f>+G245+G246+G250</f>
        <v>2.25</v>
      </c>
      <c r="G251" s="434" t="s">
        <v>127</v>
      </c>
      <c r="H251" s="265">
        <f>SUM(H245:H250)</f>
        <v>7447961.5358399991</v>
      </c>
      <c r="I251" s="83"/>
      <c r="J251" s="26"/>
      <c r="K251" s="12"/>
      <c r="L251" s="12"/>
    </row>
    <row r="252" spans="1:12" s="29" customFormat="1">
      <c r="A252" s="103"/>
      <c r="B252" s="71"/>
      <c r="C252" s="17"/>
      <c r="D252" s="34" t="s">
        <v>126</v>
      </c>
      <c r="E252" s="352" t="s">
        <v>108</v>
      </c>
      <c r="F252" s="264"/>
      <c r="G252" s="434"/>
      <c r="H252" s="265">
        <f>H251*8.33%</f>
        <v>620415.19593547191</v>
      </c>
      <c r="I252" s="84"/>
      <c r="J252" s="81"/>
      <c r="K252" s="12"/>
      <c r="L252" s="12"/>
    </row>
    <row r="253" spans="1:12" s="29" customFormat="1">
      <c r="A253" s="103"/>
      <c r="B253" s="71"/>
      <c r="C253" s="17"/>
      <c r="D253" s="34" t="s">
        <v>233</v>
      </c>
      <c r="E253" s="357"/>
      <c r="F253" s="264"/>
      <c r="G253" s="434"/>
      <c r="H253" s="265">
        <f>H251*7%</f>
        <v>521357.3075088</v>
      </c>
      <c r="I253" s="85">
        <v>0</v>
      </c>
      <c r="J253" s="31">
        <f>+(H251+H252+H253)*C244</f>
        <v>17179468.078568541</v>
      </c>
      <c r="K253" s="12"/>
      <c r="L253" s="12"/>
    </row>
    <row r="254" spans="1:12" s="29" customFormat="1">
      <c r="A254" s="103"/>
      <c r="B254" s="71"/>
      <c r="C254" s="17"/>
      <c r="D254" s="32"/>
      <c r="E254" s="354"/>
      <c r="F254" s="263"/>
      <c r="G254" s="436"/>
      <c r="H254" s="267"/>
      <c r="I254" s="86"/>
      <c r="J254" s="26"/>
      <c r="K254" s="12"/>
      <c r="L254" s="12"/>
    </row>
    <row r="255" spans="1:12" s="29" customFormat="1" ht="15" customHeight="1">
      <c r="A255" s="103"/>
      <c r="B255" s="70"/>
      <c r="C255" s="3">
        <v>2</v>
      </c>
      <c r="D255" s="91" t="s">
        <v>357</v>
      </c>
      <c r="E255" s="359">
        <f>' Tablas SAT, AAA &amp; Sutep'!U8</f>
        <v>1306174.2960000001</v>
      </c>
      <c r="F255" s="261"/>
      <c r="G255" s="431"/>
      <c r="H255" s="262"/>
      <c r="I255" s="87"/>
      <c r="J255" s="45"/>
      <c r="K255" s="12"/>
      <c r="L255" s="12"/>
    </row>
    <row r="256" spans="1:12" s="29" customFormat="1">
      <c r="A256" s="103"/>
      <c r="B256" s="71"/>
      <c r="C256" s="17"/>
      <c r="D256" s="25" t="s">
        <v>83</v>
      </c>
      <c r="E256" s="349" t="s">
        <v>135</v>
      </c>
      <c r="F256" s="254">
        <f>E255</f>
        <v>1306174.2960000001</v>
      </c>
      <c r="G256" s="434">
        <v>0.25</v>
      </c>
      <c r="H256" s="252">
        <f>+G256*F256</f>
        <v>326543.57400000002</v>
      </c>
      <c r="I256" s="86"/>
      <c r="J256" s="26"/>
      <c r="K256" s="12"/>
      <c r="L256" s="12"/>
    </row>
    <row r="257" spans="1:12" s="29" customFormat="1">
      <c r="A257" s="103"/>
      <c r="B257" s="71"/>
      <c r="C257" s="17"/>
      <c r="D257" s="25" t="s">
        <v>77</v>
      </c>
      <c r="E257" s="356" t="s">
        <v>135</v>
      </c>
      <c r="F257" s="264">
        <f>F256</f>
        <v>1306174.2960000001</v>
      </c>
      <c r="G257" s="434">
        <v>2</v>
      </c>
      <c r="H257" s="265">
        <f>+G257*F257</f>
        <v>2612348.5920000002</v>
      </c>
      <c r="I257" s="86"/>
      <c r="J257" s="26"/>
      <c r="K257" s="12"/>
      <c r="L257" s="12"/>
    </row>
    <row r="258" spans="1:12" s="29" customFormat="1">
      <c r="A258" s="103"/>
      <c r="B258" s="71"/>
      <c r="C258" s="17"/>
      <c r="D258" s="25" t="s">
        <v>137</v>
      </c>
      <c r="E258" s="350">
        <f>22*3</f>
        <v>66</v>
      </c>
      <c r="F258" s="264">
        <f>(F257/150)*2</f>
        <v>17415.657279999999</v>
      </c>
      <c r="G258" s="434">
        <f>+F262</f>
        <v>2.25</v>
      </c>
      <c r="H258" s="265">
        <f>+G258*F258*E258</f>
        <v>2586225.1060799998</v>
      </c>
      <c r="I258" s="86"/>
      <c r="J258" s="26"/>
      <c r="K258" s="12"/>
      <c r="L258" s="12"/>
    </row>
    <row r="259" spans="1:12" s="29" customFormat="1">
      <c r="A259" s="103"/>
      <c r="B259" s="71"/>
      <c r="C259" s="17"/>
      <c r="D259" s="25" t="s">
        <v>14</v>
      </c>
      <c r="E259" s="352" t="s">
        <v>110</v>
      </c>
      <c r="F259" s="264">
        <v>0</v>
      </c>
      <c r="G259" s="434"/>
      <c r="H259" s="265">
        <f>+G259*F259</f>
        <v>0</v>
      </c>
      <c r="I259" s="86"/>
      <c r="J259" s="26"/>
      <c r="K259" s="12"/>
      <c r="L259" s="12"/>
    </row>
    <row r="260" spans="1:12" s="29" customFormat="1">
      <c r="A260" s="103"/>
      <c r="B260" s="71"/>
      <c r="C260" s="17"/>
      <c r="D260" s="25" t="s">
        <v>15</v>
      </c>
      <c r="E260" s="352" t="s">
        <v>110</v>
      </c>
      <c r="F260" s="264">
        <v>0</v>
      </c>
      <c r="G260" s="434"/>
      <c r="H260" s="265">
        <f>+G260*F260</f>
        <v>0</v>
      </c>
      <c r="I260" s="86"/>
      <c r="J260" s="26"/>
      <c r="K260" s="12"/>
      <c r="L260" s="12"/>
    </row>
    <row r="261" spans="1:12" s="29" customFormat="1">
      <c r="A261" s="103"/>
      <c r="B261" s="71"/>
      <c r="C261" s="17"/>
      <c r="D261" s="25" t="s">
        <v>13</v>
      </c>
      <c r="E261" s="356" t="s">
        <v>58</v>
      </c>
      <c r="F261" s="264">
        <f>E255</f>
        <v>1306174.2960000001</v>
      </c>
      <c r="G261" s="434">
        <v>0</v>
      </c>
      <c r="H261" s="265">
        <f>+G261*F261</f>
        <v>0</v>
      </c>
      <c r="I261" s="86"/>
      <c r="J261" s="26"/>
      <c r="K261" s="12"/>
      <c r="L261" s="12"/>
    </row>
    <row r="262" spans="1:12" s="29" customFormat="1">
      <c r="A262" s="103"/>
      <c r="B262" s="71"/>
      <c r="C262" s="17"/>
      <c r="D262" s="25" t="s">
        <v>136</v>
      </c>
      <c r="E262" s="352" t="s">
        <v>108</v>
      </c>
      <c r="F262" s="263">
        <f>+G256+G257+G261</f>
        <v>2.25</v>
      </c>
      <c r="G262" s="434" t="s">
        <v>127</v>
      </c>
      <c r="H262" s="265">
        <f>SUM(H256:H261)</f>
        <v>5525117.2720800005</v>
      </c>
      <c r="I262" s="83"/>
      <c r="J262" s="26"/>
      <c r="K262" s="12"/>
      <c r="L262" s="12"/>
    </row>
    <row r="263" spans="1:12" s="29" customFormat="1">
      <c r="A263" s="103"/>
      <c r="B263" s="71"/>
      <c r="C263" s="17"/>
      <c r="D263" s="34" t="s">
        <v>126</v>
      </c>
      <c r="E263" s="352" t="s">
        <v>108</v>
      </c>
      <c r="F263" s="264"/>
      <c r="G263" s="434"/>
      <c r="H263" s="265">
        <f>H262*8.33%</f>
        <v>460242.26876426401</v>
      </c>
      <c r="I263" s="84"/>
      <c r="J263" s="81"/>
      <c r="K263" s="12"/>
      <c r="L263" s="12"/>
    </row>
    <row r="264" spans="1:12" s="29" customFormat="1">
      <c r="A264" s="103"/>
      <c r="B264" s="71"/>
      <c r="C264" s="17"/>
      <c r="D264" s="34" t="s">
        <v>233</v>
      </c>
      <c r="E264" s="357"/>
      <c r="F264" s="264"/>
      <c r="G264" s="434"/>
      <c r="H264" s="265">
        <f>H262*7%</f>
        <v>386758.20904560009</v>
      </c>
      <c r="I264" s="85">
        <v>0</v>
      </c>
      <c r="J264" s="31">
        <f>+(H262+H263+H264)*C255</f>
        <v>12744235.499779729</v>
      </c>
      <c r="K264" s="12"/>
      <c r="L264" s="12"/>
    </row>
    <row r="265" spans="1:12" s="29" customFormat="1">
      <c r="A265" s="103"/>
      <c r="B265" s="71"/>
      <c r="C265" s="17"/>
      <c r="D265" s="32"/>
      <c r="E265" s="354"/>
      <c r="F265" s="263"/>
      <c r="G265" s="436"/>
      <c r="H265" s="267"/>
      <c r="I265" s="86"/>
      <c r="J265" s="26"/>
      <c r="K265" s="12"/>
      <c r="L265" s="12"/>
    </row>
    <row r="266" spans="1:12" s="29" customFormat="1" ht="15" customHeight="1">
      <c r="A266" s="103"/>
      <c r="B266" s="70"/>
      <c r="C266" s="3">
        <v>1</v>
      </c>
      <c r="D266" s="91" t="s">
        <v>358</v>
      </c>
      <c r="E266" s="355">
        <f>' Tablas SAT, AAA &amp; Sutep'!U7</f>
        <v>1416288.7087999999</v>
      </c>
      <c r="F266" s="263"/>
      <c r="G266" s="436"/>
      <c r="H266" s="267"/>
      <c r="I266" s="87"/>
      <c r="J266" s="45"/>
      <c r="K266" s="12"/>
      <c r="L266" s="12"/>
    </row>
    <row r="267" spans="1:12" s="29" customFormat="1">
      <c r="A267" s="103"/>
      <c r="B267" s="71"/>
      <c r="C267" s="17"/>
      <c r="D267" s="25" t="s">
        <v>83</v>
      </c>
      <c r="E267" s="356" t="s">
        <v>135</v>
      </c>
      <c r="F267" s="264">
        <f>E266</f>
        <v>1416288.7087999999</v>
      </c>
      <c r="G267" s="434">
        <v>0.25</v>
      </c>
      <c r="H267" s="265">
        <f t="shared" ref="H267:H272" si="6">+G267*F267</f>
        <v>354072.17719999998</v>
      </c>
      <c r="I267" s="86"/>
      <c r="J267" s="26"/>
      <c r="K267" s="12"/>
      <c r="L267" s="12"/>
    </row>
    <row r="268" spans="1:12" s="29" customFormat="1">
      <c r="A268" s="103"/>
      <c r="B268" s="71"/>
      <c r="C268" s="17"/>
      <c r="D268" s="25" t="s">
        <v>77</v>
      </c>
      <c r="E268" s="356" t="s">
        <v>135</v>
      </c>
      <c r="F268" s="264">
        <f>F267</f>
        <v>1416288.7087999999</v>
      </c>
      <c r="G268" s="434">
        <v>2</v>
      </c>
      <c r="H268" s="265">
        <f t="shared" si="6"/>
        <v>2832577.4175999998</v>
      </c>
      <c r="I268" s="86"/>
      <c r="J268" s="26"/>
      <c r="K268" s="12"/>
      <c r="L268" s="12"/>
    </row>
    <row r="269" spans="1:12" s="29" customFormat="1">
      <c r="A269" s="103"/>
      <c r="B269" s="71"/>
      <c r="C269" s="17"/>
      <c r="D269" s="25" t="s">
        <v>137</v>
      </c>
      <c r="E269" s="350">
        <f>22*3</f>
        <v>66</v>
      </c>
      <c r="F269" s="264">
        <f>(F268/150)*2</f>
        <v>18883.849450666665</v>
      </c>
      <c r="G269" s="434">
        <f>+F273</f>
        <v>2.25</v>
      </c>
      <c r="H269" s="265">
        <f>+G269*F269*E269</f>
        <v>2804251.6434239997</v>
      </c>
      <c r="I269" s="86"/>
      <c r="J269" s="26"/>
      <c r="K269" s="12"/>
      <c r="L269" s="12"/>
    </row>
    <row r="270" spans="1:12" s="29" customFormat="1">
      <c r="A270" s="103"/>
      <c r="B270" s="71"/>
      <c r="C270" s="17"/>
      <c r="D270" s="25" t="s">
        <v>14</v>
      </c>
      <c r="E270" s="352" t="s">
        <v>110</v>
      </c>
      <c r="F270" s="264">
        <v>0</v>
      </c>
      <c r="G270" s="434"/>
      <c r="H270" s="265">
        <f t="shared" si="6"/>
        <v>0</v>
      </c>
      <c r="I270" s="86"/>
      <c r="J270" s="26"/>
      <c r="K270" s="12"/>
      <c r="L270" s="12"/>
    </row>
    <row r="271" spans="1:12" s="29" customFormat="1">
      <c r="A271" s="103"/>
      <c r="B271" s="71"/>
      <c r="C271" s="17"/>
      <c r="D271" s="25" t="s">
        <v>15</v>
      </c>
      <c r="E271" s="352" t="s">
        <v>110</v>
      </c>
      <c r="F271" s="264">
        <v>0</v>
      </c>
      <c r="G271" s="434"/>
      <c r="H271" s="265">
        <f t="shared" si="6"/>
        <v>0</v>
      </c>
      <c r="I271" s="86"/>
      <c r="J271" s="26"/>
      <c r="K271" s="12"/>
      <c r="L271" s="12"/>
    </row>
    <row r="272" spans="1:12" s="29" customFormat="1">
      <c r="A272" s="103"/>
      <c r="B272" s="71"/>
      <c r="C272" s="17"/>
      <c r="D272" s="25" t="s">
        <v>13</v>
      </c>
      <c r="E272" s="356" t="s">
        <v>58</v>
      </c>
      <c r="F272" s="264">
        <f>E266</f>
        <v>1416288.7087999999</v>
      </c>
      <c r="G272" s="434">
        <v>0</v>
      </c>
      <c r="H272" s="265">
        <f t="shared" si="6"/>
        <v>0</v>
      </c>
      <c r="I272" s="86"/>
      <c r="J272" s="26"/>
      <c r="K272" s="12"/>
      <c r="L272" s="12"/>
    </row>
    <row r="273" spans="1:12" s="29" customFormat="1">
      <c r="A273" s="103"/>
      <c r="B273" s="71"/>
      <c r="C273" s="17"/>
      <c r="D273" s="25" t="s">
        <v>136</v>
      </c>
      <c r="E273" s="352" t="s">
        <v>108</v>
      </c>
      <c r="F273" s="263">
        <f>+G267+G268+G272</f>
        <v>2.25</v>
      </c>
      <c r="G273" s="434" t="s">
        <v>127</v>
      </c>
      <c r="H273" s="265">
        <f>SUM(H267:H272)</f>
        <v>5990901.2382239997</v>
      </c>
      <c r="I273" s="83"/>
      <c r="J273" s="26"/>
      <c r="K273" s="12"/>
      <c r="L273" s="12"/>
    </row>
    <row r="274" spans="1:12" s="29" customFormat="1">
      <c r="A274" s="103"/>
      <c r="B274" s="71"/>
      <c r="C274" s="17"/>
      <c r="D274" s="34" t="s">
        <v>126</v>
      </c>
      <c r="E274" s="352" t="s">
        <v>108</v>
      </c>
      <c r="F274" s="264"/>
      <c r="G274" s="434"/>
      <c r="H274" s="265">
        <f>H273*8.33%</f>
        <v>499042.07314405916</v>
      </c>
      <c r="I274" s="84"/>
      <c r="J274" s="81"/>
      <c r="K274" s="12"/>
      <c r="L274" s="12"/>
    </row>
    <row r="275" spans="1:12" s="29" customFormat="1">
      <c r="A275" s="103"/>
      <c r="B275" s="71"/>
      <c r="C275" s="17"/>
      <c r="D275" s="34" t="s">
        <v>233</v>
      </c>
      <c r="E275" s="357"/>
      <c r="F275" s="264"/>
      <c r="G275" s="434"/>
      <c r="H275" s="265">
        <f>H273*7%</f>
        <v>419363.08667568001</v>
      </c>
      <c r="I275" s="85">
        <v>0</v>
      </c>
      <c r="J275" s="31">
        <f>+(H273+H274+H275)*C266</f>
        <v>6909306.3980437396</v>
      </c>
      <c r="K275" s="12"/>
      <c r="L275" s="12"/>
    </row>
    <row r="276" spans="1:12" s="29" customFormat="1">
      <c r="A276" s="103"/>
      <c r="B276" s="71"/>
      <c r="C276" s="17"/>
      <c r="D276" s="32"/>
      <c r="E276" s="358"/>
      <c r="F276" s="263"/>
      <c r="G276" s="436"/>
      <c r="H276" s="267"/>
      <c r="I276" s="86"/>
      <c r="J276" s="26"/>
      <c r="K276" s="12"/>
      <c r="L276" s="12"/>
    </row>
    <row r="277" spans="1:12" s="29" customFormat="1" ht="15" customHeight="1">
      <c r="A277" s="103"/>
      <c r="B277" s="70"/>
      <c r="C277" s="3">
        <v>1</v>
      </c>
      <c r="D277" s="91" t="s">
        <v>312</v>
      </c>
      <c r="E277" s="355">
        <f>' Tablas SAT, AAA &amp; Sutep'!U5</f>
        <v>1760747.4079999998</v>
      </c>
      <c r="F277" s="263"/>
      <c r="G277" s="436"/>
      <c r="H277" s="267"/>
      <c r="I277" s="87"/>
      <c r="J277" s="45"/>
      <c r="K277" s="12"/>
      <c r="L277" s="12"/>
    </row>
    <row r="278" spans="1:12" s="29" customFormat="1">
      <c r="A278" s="103"/>
      <c r="B278" s="71"/>
      <c r="C278" s="17"/>
      <c r="D278" s="25" t="s">
        <v>83</v>
      </c>
      <c r="E278" s="356" t="s">
        <v>135</v>
      </c>
      <c r="F278" s="264">
        <f>E277</f>
        <v>1760747.4079999998</v>
      </c>
      <c r="G278" s="434">
        <v>0.25</v>
      </c>
      <c r="H278" s="265">
        <f>+G278*F278</f>
        <v>440186.85199999996</v>
      </c>
      <c r="I278" s="86"/>
      <c r="J278" s="26"/>
      <c r="K278" s="12"/>
      <c r="L278" s="12"/>
    </row>
    <row r="279" spans="1:12" s="29" customFormat="1">
      <c r="A279" s="103"/>
      <c r="B279" s="71"/>
      <c r="C279" s="17"/>
      <c r="D279" s="25" t="s">
        <v>77</v>
      </c>
      <c r="E279" s="356" t="s">
        <v>135</v>
      </c>
      <c r="F279" s="264">
        <f>F278</f>
        <v>1760747.4079999998</v>
      </c>
      <c r="G279" s="434">
        <v>2</v>
      </c>
      <c r="H279" s="265">
        <f>+G279*F279</f>
        <v>3521494.8159999996</v>
      </c>
      <c r="I279" s="86"/>
      <c r="J279" s="26"/>
      <c r="K279" s="12"/>
      <c r="L279" s="12"/>
    </row>
    <row r="280" spans="1:12" s="29" customFormat="1">
      <c r="A280" s="103"/>
      <c r="B280" s="71"/>
      <c r="C280" s="17"/>
      <c r="D280" s="25" t="s">
        <v>137</v>
      </c>
      <c r="E280" s="350">
        <f>22*3</f>
        <v>66</v>
      </c>
      <c r="F280" s="264">
        <f>(F279/150)*2</f>
        <v>23476.632106666664</v>
      </c>
      <c r="G280" s="434">
        <f>+F284</f>
        <v>2.25</v>
      </c>
      <c r="H280" s="265">
        <f>+G280*F280*E280</f>
        <v>3486279.8678399995</v>
      </c>
      <c r="I280" s="86"/>
      <c r="J280" s="26"/>
      <c r="K280" s="12"/>
      <c r="L280" s="12"/>
    </row>
    <row r="281" spans="1:12" s="29" customFormat="1">
      <c r="A281" s="103"/>
      <c r="B281" s="71"/>
      <c r="C281" s="17"/>
      <c r="D281" s="25" t="s">
        <v>14</v>
      </c>
      <c r="E281" s="352" t="s">
        <v>110</v>
      </c>
      <c r="F281" s="264">
        <v>0</v>
      </c>
      <c r="G281" s="434"/>
      <c r="H281" s="265">
        <f>+G281*F281</f>
        <v>0</v>
      </c>
      <c r="I281" s="86"/>
      <c r="J281" s="26"/>
      <c r="K281" s="12"/>
      <c r="L281" s="12"/>
    </row>
    <row r="282" spans="1:12" s="29" customFormat="1">
      <c r="A282" s="103"/>
      <c r="B282" s="71"/>
      <c r="C282" s="17"/>
      <c r="D282" s="25" t="s">
        <v>15</v>
      </c>
      <c r="E282" s="352" t="s">
        <v>110</v>
      </c>
      <c r="F282" s="264">
        <v>0</v>
      </c>
      <c r="G282" s="434"/>
      <c r="H282" s="265">
        <f>+G282*F282</f>
        <v>0</v>
      </c>
      <c r="I282" s="86"/>
      <c r="J282" s="26"/>
      <c r="K282" s="12"/>
      <c r="L282" s="12"/>
    </row>
    <row r="283" spans="1:12" s="29" customFormat="1">
      <c r="A283" s="103"/>
      <c r="B283" s="71"/>
      <c r="C283" s="17"/>
      <c r="D283" s="25" t="s">
        <v>13</v>
      </c>
      <c r="E283" s="356" t="s">
        <v>58</v>
      </c>
      <c r="F283" s="264">
        <f>E277</f>
        <v>1760747.4079999998</v>
      </c>
      <c r="G283" s="434">
        <v>0</v>
      </c>
      <c r="H283" s="265">
        <f>+G283*F283</f>
        <v>0</v>
      </c>
      <c r="I283" s="86"/>
      <c r="J283" s="26"/>
      <c r="K283" s="12"/>
      <c r="L283" s="12"/>
    </row>
    <row r="284" spans="1:12" s="29" customFormat="1">
      <c r="A284" s="103"/>
      <c r="B284" s="71"/>
      <c r="C284" s="17"/>
      <c r="D284" s="25" t="s">
        <v>136</v>
      </c>
      <c r="E284" s="352" t="s">
        <v>108</v>
      </c>
      <c r="F284" s="263">
        <f>+G278+G279+G283</f>
        <v>2.25</v>
      </c>
      <c r="G284" s="434" t="s">
        <v>127</v>
      </c>
      <c r="H284" s="265">
        <f>SUM(H278:H283)</f>
        <v>7447961.5358399991</v>
      </c>
      <c r="I284" s="83"/>
      <c r="J284" s="26"/>
      <c r="K284" s="12"/>
      <c r="L284" s="12"/>
    </row>
    <row r="285" spans="1:12" s="29" customFormat="1">
      <c r="A285" s="103"/>
      <c r="B285" s="71"/>
      <c r="C285" s="17"/>
      <c r="D285" s="34" t="s">
        <v>126</v>
      </c>
      <c r="E285" s="352" t="s">
        <v>108</v>
      </c>
      <c r="F285" s="264"/>
      <c r="G285" s="434"/>
      <c r="H285" s="265">
        <f>H284*8.33%</f>
        <v>620415.19593547191</v>
      </c>
      <c r="I285" s="84"/>
      <c r="J285" s="81"/>
      <c r="K285" s="12"/>
      <c r="L285" s="12"/>
    </row>
    <row r="286" spans="1:12" s="29" customFormat="1">
      <c r="A286" s="103"/>
      <c r="B286" s="71"/>
      <c r="C286" s="17"/>
      <c r="D286" s="34" t="s">
        <v>233</v>
      </c>
      <c r="E286" s="357"/>
      <c r="F286" s="264"/>
      <c r="G286" s="434"/>
      <c r="H286" s="265">
        <f>H284*7%</f>
        <v>521357.3075088</v>
      </c>
      <c r="I286" s="85">
        <v>0</v>
      </c>
      <c r="J286" s="31">
        <f>+(H284+H285+H286)*C277</f>
        <v>8589734.0392842703</v>
      </c>
      <c r="K286" s="12"/>
      <c r="L286" s="12"/>
    </row>
    <row r="287" spans="1:12" s="29" customFormat="1">
      <c r="A287" s="103"/>
      <c r="B287" s="71"/>
      <c r="C287" s="17"/>
      <c r="D287" s="32"/>
      <c r="E287" s="358"/>
      <c r="F287" s="263"/>
      <c r="G287" s="436"/>
      <c r="H287" s="267"/>
      <c r="I287" s="86"/>
      <c r="J287" s="26"/>
      <c r="K287" s="12"/>
      <c r="L287" s="12"/>
    </row>
    <row r="288" spans="1:12" s="29" customFormat="1" ht="15" customHeight="1">
      <c r="A288" s="103"/>
      <c r="B288" s="70"/>
      <c r="C288" s="3">
        <v>1</v>
      </c>
      <c r="D288" s="91" t="s">
        <v>359</v>
      </c>
      <c r="E288" s="355">
        <f>' Tablas SAT, AAA &amp; Sutep'!U6</f>
        <v>1533732.5920000002</v>
      </c>
      <c r="F288" s="263"/>
      <c r="G288" s="436"/>
      <c r="H288" s="267"/>
      <c r="I288" s="87"/>
      <c r="J288" s="45"/>
      <c r="K288" s="12"/>
      <c r="L288" s="12"/>
    </row>
    <row r="289" spans="1:12" s="29" customFormat="1">
      <c r="A289" s="103"/>
      <c r="B289" s="71"/>
      <c r="C289" s="17"/>
      <c r="D289" s="25" t="s">
        <v>83</v>
      </c>
      <c r="E289" s="362" t="s">
        <v>142</v>
      </c>
      <c r="F289" s="264">
        <f>E288</f>
        <v>1533732.5920000002</v>
      </c>
      <c r="G289" s="434">
        <v>1</v>
      </c>
      <c r="H289" s="265">
        <f>+G289*F289</f>
        <v>1533732.5920000002</v>
      </c>
      <c r="I289" s="86"/>
      <c r="J289" s="26"/>
      <c r="K289" s="12"/>
      <c r="L289" s="12"/>
    </row>
    <row r="290" spans="1:12" s="29" customFormat="1">
      <c r="A290" s="103"/>
      <c r="B290" s="71"/>
      <c r="C290" s="17"/>
      <c r="D290" s="25" t="s">
        <v>77</v>
      </c>
      <c r="E290" s="363" t="s">
        <v>142</v>
      </c>
      <c r="F290" s="264">
        <f>F289</f>
        <v>1533732.5920000002</v>
      </c>
      <c r="G290" s="434">
        <v>2</v>
      </c>
      <c r="H290" s="265">
        <f>+G290*F290</f>
        <v>3067465.1840000004</v>
      </c>
      <c r="I290" s="86"/>
      <c r="J290" s="26"/>
      <c r="K290" s="12"/>
      <c r="L290" s="12"/>
    </row>
    <row r="291" spans="1:12" s="29" customFormat="1">
      <c r="A291" s="103"/>
      <c r="B291" s="71"/>
      <c r="C291" s="17"/>
      <c r="D291" s="25" t="s">
        <v>137</v>
      </c>
      <c r="E291" s="350">
        <f>22*3</f>
        <v>66</v>
      </c>
      <c r="F291" s="264">
        <f>(F290/150)*2</f>
        <v>20449.767893333337</v>
      </c>
      <c r="G291" s="434">
        <f>+F295</f>
        <v>3</v>
      </c>
      <c r="H291" s="265">
        <f>+G291*F291*E291</f>
        <v>4049054.0428800005</v>
      </c>
      <c r="I291" s="86"/>
      <c r="J291" s="26"/>
      <c r="K291" s="12"/>
      <c r="L291" s="12"/>
    </row>
    <row r="292" spans="1:12" s="29" customFormat="1">
      <c r="A292" s="103"/>
      <c r="B292" s="71"/>
      <c r="C292" s="17"/>
      <c r="D292" s="25" t="s">
        <v>14</v>
      </c>
      <c r="E292" s="364" t="s">
        <v>110</v>
      </c>
      <c r="F292" s="264">
        <v>0</v>
      </c>
      <c r="G292" s="434"/>
      <c r="H292" s="265">
        <f>+G292*F292</f>
        <v>0</v>
      </c>
      <c r="I292" s="86"/>
      <c r="J292" s="26"/>
      <c r="K292" s="12"/>
      <c r="L292" s="12"/>
    </row>
    <row r="293" spans="1:12" s="29" customFormat="1">
      <c r="A293" s="103"/>
      <c r="B293" s="71"/>
      <c r="C293" s="17"/>
      <c r="D293" s="25" t="s">
        <v>15</v>
      </c>
      <c r="E293" s="364" t="s">
        <v>110</v>
      </c>
      <c r="F293" s="264">
        <v>0</v>
      </c>
      <c r="G293" s="434"/>
      <c r="H293" s="265">
        <f>+G293*F293</f>
        <v>0</v>
      </c>
      <c r="I293" s="86"/>
      <c r="J293" s="26"/>
      <c r="K293" s="12"/>
      <c r="L293" s="12"/>
    </row>
    <row r="294" spans="1:12" s="29" customFormat="1">
      <c r="A294" s="103"/>
      <c r="B294" s="71"/>
      <c r="C294" s="17"/>
      <c r="D294" s="25" t="s">
        <v>13</v>
      </c>
      <c r="E294" s="363" t="s">
        <v>143</v>
      </c>
      <c r="F294" s="264">
        <f>E288</f>
        <v>1533732.5920000002</v>
      </c>
      <c r="G294" s="434">
        <v>0</v>
      </c>
      <c r="H294" s="265">
        <f>+G294*F294</f>
        <v>0</v>
      </c>
      <c r="I294" s="86"/>
      <c r="J294" s="26"/>
      <c r="K294" s="12"/>
      <c r="L294" s="12"/>
    </row>
    <row r="295" spans="1:12" s="29" customFormat="1">
      <c r="A295" s="103"/>
      <c r="B295" s="71"/>
      <c r="C295" s="17"/>
      <c r="D295" s="25" t="s">
        <v>136</v>
      </c>
      <c r="E295" s="364" t="s">
        <v>108</v>
      </c>
      <c r="F295" s="263">
        <f>+G289+G290+G294</f>
        <v>3</v>
      </c>
      <c r="G295" s="434" t="s">
        <v>127</v>
      </c>
      <c r="H295" s="265">
        <f>SUM(H289:H294)</f>
        <v>8650251.8188800011</v>
      </c>
      <c r="I295" s="83"/>
      <c r="J295" s="26"/>
      <c r="K295" s="12"/>
      <c r="L295" s="12"/>
    </row>
    <row r="296" spans="1:12" s="29" customFormat="1">
      <c r="A296" s="103"/>
      <c r="B296" s="71"/>
      <c r="C296" s="17"/>
      <c r="D296" s="34" t="s">
        <v>126</v>
      </c>
      <c r="E296" s="352" t="s">
        <v>108</v>
      </c>
      <c r="F296" s="264"/>
      <c r="G296" s="434"/>
      <c r="H296" s="265">
        <f>H295*8.33%</f>
        <v>720565.97651270404</v>
      </c>
      <c r="I296" s="84"/>
      <c r="J296" s="81"/>
      <c r="K296" s="12"/>
      <c r="L296" s="12"/>
    </row>
    <row r="297" spans="1:12" s="29" customFormat="1">
      <c r="A297" s="103"/>
      <c r="B297" s="71"/>
      <c r="C297" s="17"/>
      <c r="D297" s="34" t="s">
        <v>233</v>
      </c>
      <c r="E297" s="357"/>
      <c r="F297" s="264"/>
      <c r="G297" s="434"/>
      <c r="H297" s="265">
        <f>H295*7%</f>
        <v>605517.6273216001</v>
      </c>
      <c r="I297" s="85">
        <v>0</v>
      </c>
      <c r="J297" s="31">
        <f>+(H295+H296+H297)*C288</f>
        <v>9976335.422714306</v>
      </c>
      <c r="K297" s="12"/>
      <c r="L297" s="12"/>
    </row>
    <row r="298" spans="1:12" s="29" customFormat="1">
      <c r="A298" s="103"/>
      <c r="B298" s="71"/>
      <c r="C298" s="17"/>
      <c r="D298" s="32"/>
      <c r="E298" s="354"/>
      <c r="F298" s="263"/>
      <c r="G298" s="436"/>
      <c r="H298" s="267"/>
      <c r="I298" s="86"/>
      <c r="J298" s="26"/>
      <c r="K298" s="12"/>
      <c r="L298" s="12"/>
    </row>
    <row r="299" spans="1:12" s="29" customFormat="1" ht="15" customHeight="1">
      <c r="A299" s="103"/>
      <c r="B299" s="70"/>
      <c r="C299" s="3">
        <v>2</v>
      </c>
      <c r="D299" s="91" t="s">
        <v>360</v>
      </c>
      <c r="E299" s="355">
        <f>' Tablas SAT, AAA &amp; Sutep'!U8</f>
        <v>1306174.2960000001</v>
      </c>
      <c r="F299" s="264"/>
      <c r="G299" s="436"/>
      <c r="H299" s="267"/>
      <c r="I299" s="87"/>
      <c r="J299" s="45"/>
      <c r="K299" s="12"/>
      <c r="L299" s="12"/>
    </row>
    <row r="300" spans="1:12" s="29" customFormat="1">
      <c r="A300" s="103"/>
      <c r="B300" s="71"/>
      <c r="C300" s="17"/>
      <c r="D300" s="25" t="s">
        <v>83</v>
      </c>
      <c r="E300" s="362" t="s">
        <v>142</v>
      </c>
      <c r="F300" s="264">
        <f>E299</f>
        <v>1306174.2960000001</v>
      </c>
      <c r="G300" s="434">
        <v>0.25</v>
      </c>
      <c r="H300" s="265">
        <f>+G300*F300</f>
        <v>326543.57400000002</v>
      </c>
      <c r="I300" s="86"/>
      <c r="J300" s="26"/>
      <c r="K300" s="12"/>
      <c r="L300" s="12"/>
    </row>
    <row r="301" spans="1:12" s="29" customFormat="1">
      <c r="A301" s="103"/>
      <c r="B301" s="71"/>
      <c r="C301" s="17"/>
      <c r="D301" s="25" t="s">
        <v>77</v>
      </c>
      <c r="E301" s="363" t="s">
        <v>142</v>
      </c>
      <c r="F301" s="264">
        <f>F300</f>
        <v>1306174.2960000001</v>
      </c>
      <c r="G301" s="434">
        <v>2</v>
      </c>
      <c r="H301" s="265">
        <f>+G301*F301</f>
        <v>2612348.5920000002</v>
      </c>
      <c r="I301" s="86"/>
      <c r="J301" s="26"/>
      <c r="K301" s="12"/>
      <c r="L301" s="12"/>
    </row>
    <row r="302" spans="1:12" s="29" customFormat="1">
      <c r="A302" s="103"/>
      <c r="B302" s="71"/>
      <c r="C302" s="17"/>
      <c r="D302" s="25" t="s">
        <v>137</v>
      </c>
      <c r="E302" s="350">
        <f>22*3</f>
        <v>66</v>
      </c>
      <c r="F302" s="254">
        <f>(F301/150)*2</f>
        <v>17415.657279999999</v>
      </c>
      <c r="G302" s="315">
        <f>+F306</f>
        <v>2.25</v>
      </c>
      <c r="H302" s="252">
        <f>+G302*F302*E302</f>
        <v>2586225.1060799998</v>
      </c>
      <c r="I302" s="86"/>
      <c r="J302" s="26"/>
      <c r="K302" s="12"/>
      <c r="L302" s="12"/>
    </row>
    <row r="303" spans="1:12" s="29" customFormat="1">
      <c r="A303" s="103"/>
      <c r="B303" s="71"/>
      <c r="C303" s="17"/>
      <c r="D303" s="25" t="s">
        <v>14</v>
      </c>
      <c r="E303" s="365" t="s">
        <v>110</v>
      </c>
      <c r="F303" s="254">
        <f>F299/5*1.5</f>
        <v>0</v>
      </c>
      <c r="G303" s="315"/>
      <c r="H303" s="252">
        <f>+G303*F303</f>
        <v>0</v>
      </c>
      <c r="I303" s="86"/>
      <c r="J303" s="26"/>
      <c r="K303" s="12"/>
      <c r="L303" s="12"/>
    </row>
    <row r="304" spans="1:12" s="29" customFormat="1">
      <c r="A304" s="103"/>
      <c r="B304" s="71"/>
      <c r="C304" s="17"/>
      <c r="D304" s="25" t="s">
        <v>15</v>
      </c>
      <c r="E304" s="365" t="s">
        <v>110</v>
      </c>
      <c r="F304" s="264">
        <f>F299/5*2</f>
        <v>0</v>
      </c>
      <c r="G304" s="434"/>
      <c r="H304" s="265">
        <f>+G304*F304</f>
        <v>0</v>
      </c>
      <c r="I304" s="86"/>
      <c r="J304" s="26"/>
      <c r="K304" s="12"/>
      <c r="L304" s="12"/>
    </row>
    <row r="305" spans="1:12" s="29" customFormat="1">
      <c r="A305" s="103"/>
      <c r="B305" s="71"/>
      <c r="C305" s="17"/>
      <c r="D305" s="25" t="s">
        <v>13</v>
      </c>
      <c r="E305" s="366" t="s">
        <v>143</v>
      </c>
      <c r="F305" s="264">
        <f>F299</f>
        <v>0</v>
      </c>
      <c r="G305" s="434">
        <v>0</v>
      </c>
      <c r="H305" s="265">
        <f>+G305*F305</f>
        <v>0</v>
      </c>
      <c r="I305" s="86"/>
      <c r="J305" s="26"/>
      <c r="K305" s="12"/>
      <c r="L305" s="12"/>
    </row>
    <row r="306" spans="1:12" s="29" customFormat="1">
      <c r="A306" s="103"/>
      <c r="B306" s="71"/>
      <c r="C306" s="17"/>
      <c r="D306" s="25" t="s">
        <v>136</v>
      </c>
      <c r="E306" s="365" t="s">
        <v>108</v>
      </c>
      <c r="F306" s="263">
        <f>+G300+G301+G305</f>
        <v>2.25</v>
      </c>
      <c r="G306" s="434" t="s">
        <v>127</v>
      </c>
      <c r="H306" s="265">
        <f>SUM(H300:H305)</f>
        <v>5525117.2720800005</v>
      </c>
      <c r="I306" s="83"/>
      <c r="J306" s="26"/>
      <c r="K306" s="12"/>
      <c r="L306" s="12"/>
    </row>
    <row r="307" spans="1:12" s="29" customFormat="1">
      <c r="A307" s="103"/>
      <c r="B307" s="71"/>
      <c r="C307" s="17"/>
      <c r="D307" s="34" t="s">
        <v>126</v>
      </c>
      <c r="E307" s="352" t="s">
        <v>108</v>
      </c>
      <c r="F307" s="264"/>
      <c r="G307" s="434"/>
      <c r="H307" s="265">
        <f>H306*8.33%</f>
        <v>460242.26876426401</v>
      </c>
      <c r="I307" s="84"/>
      <c r="J307" s="81"/>
      <c r="K307" s="12"/>
      <c r="L307" s="12"/>
    </row>
    <row r="308" spans="1:12" s="29" customFormat="1">
      <c r="A308" s="103"/>
      <c r="B308" s="71"/>
      <c r="C308" s="17"/>
      <c r="D308" s="34" t="s">
        <v>233</v>
      </c>
      <c r="E308" s="357"/>
      <c r="F308" s="264"/>
      <c r="G308" s="434"/>
      <c r="H308" s="265">
        <f>H306*7%</f>
        <v>386758.20904560009</v>
      </c>
      <c r="I308" s="85">
        <v>0</v>
      </c>
      <c r="J308" s="31">
        <f>+(H306+H307+H308)*C299</f>
        <v>12744235.499779729</v>
      </c>
      <c r="K308" s="12"/>
      <c r="L308" s="12"/>
    </row>
    <row r="309" spans="1:12" s="29" customFormat="1">
      <c r="A309" s="103"/>
      <c r="B309" s="71"/>
      <c r="C309" s="17"/>
      <c r="D309" s="32"/>
      <c r="E309" s="343"/>
      <c r="F309" s="263"/>
      <c r="G309" s="436"/>
      <c r="H309" s="267"/>
      <c r="I309" s="86"/>
      <c r="J309" s="26"/>
      <c r="K309" s="12"/>
      <c r="L309" s="12"/>
    </row>
    <row r="310" spans="1:12" s="29" customFormat="1" ht="15" customHeight="1">
      <c r="A310" s="103"/>
      <c r="B310" s="70"/>
      <c r="C310" s="3">
        <v>1</v>
      </c>
      <c r="D310" s="91" t="s">
        <v>361</v>
      </c>
      <c r="E310" s="359">
        <f>' Tablas SAT, AAA &amp; Sutep'!U8</f>
        <v>1306174.2960000001</v>
      </c>
      <c r="F310" s="263"/>
      <c r="G310" s="436"/>
      <c r="H310" s="267"/>
      <c r="I310" s="87"/>
      <c r="J310" s="45"/>
      <c r="K310" s="12"/>
      <c r="L310" s="12"/>
    </row>
    <row r="311" spans="1:12" s="29" customFormat="1">
      <c r="A311" s="103"/>
      <c r="B311" s="71"/>
      <c r="C311" s="17"/>
      <c r="D311" s="25" t="s">
        <v>83</v>
      </c>
      <c r="E311" s="367" t="s">
        <v>142</v>
      </c>
      <c r="F311" s="264">
        <f>E310</f>
        <v>1306174.2960000001</v>
      </c>
      <c r="G311" s="434">
        <v>0.25</v>
      </c>
      <c r="H311" s="265">
        <f t="shared" ref="H311:H316" si="7">+G311*F311</f>
        <v>326543.57400000002</v>
      </c>
      <c r="I311" s="86"/>
      <c r="J311" s="26"/>
      <c r="K311" s="12"/>
      <c r="L311" s="12"/>
    </row>
    <row r="312" spans="1:12" s="29" customFormat="1">
      <c r="A312" s="103"/>
      <c r="B312" s="71"/>
      <c r="C312" s="17"/>
      <c r="D312" s="25" t="s">
        <v>77</v>
      </c>
      <c r="E312" s="366" t="s">
        <v>142</v>
      </c>
      <c r="F312" s="264">
        <f>F311</f>
        <v>1306174.2960000001</v>
      </c>
      <c r="G312" s="434">
        <v>2</v>
      </c>
      <c r="H312" s="265">
        <f t="shared" si="7"/>
        <v>2612348.5920000002</v>
      </c>
      <c r="I312" s="86"/>
      <c r="J312" s="26"/>
      <c r="K312" s="12"/>
      <c r="L312" s="12"/>
    </row>
    <row r="313" spans="1:12" s="29" customFormat="1">
      <c r="A313" s="103"/>
      <c r="B313" s="71"/>
      <c r="C313" s="17"/>
      <c r="D313" s="25" t="s">
        <v>137</v>
      </c>
      <c r="E313" s="350">
        <f>22*3</f>
        <v>66</v>
      </c>
      <c r="F313" s="264">
        <f>(F312/150)*2</f>
        <v>17415.657279999999</v>
      </c>
      <c r="G313" s="434">
        <f>+F317</f>
        <v>2.25</v>
      </c>
      <c r="H313" s="265">
        <f>+G313*F313*E313</f>
        <v>2586225.1060799998</v>
      </c>
      <c r="I313" s="86"/>
      <c r="J313" s="26"/>
      <c r="K313" s="12"/>
      <c r="L313" s="12"/>
    </row>
    <row r="314" spans="1:12" s="29" customFormat="1">
      <c r="A314" s="103"/>
      <c r="B314" s="71"/>
      <c r="C314" s="17"/>
      <c r="D314" s="25" t="s">
        <v>14</v>
      </c>
      <c r="E314" s="365" t="s">
        <v>110</v>
      </c>
      <c r="F314" s="264">
        <v>0</v>
      </c>
      <c r="G314" s="434"/>
      <c r="H314" s="265">
        <f t="shared" si="7"/>
        <v>0</v>
      </c>
      <c r="I314" s="86"/>
      <c r="J314" s="26"/>
      <c r="K314" s="127"/>
      <c r="L314" s="127"/>
    </row>
    <row r="315" spans="1:12" s="29" customFormat="1">
      <c r="A315" s="103"/>
      <c r="B315" s="71"/>
      <c r="C315" s="17"/>
      <c r="D315" s="25" t="s">
        <v>15</v>
      </c>
      <c r="E315" s="365" t="s">
        <v>110</v>
      </c>
      <c r="F315" s="264">
        <v>0</v>
      </c>
      <c r="G315" s="434"/>
      <c r="H315" s="265">
        <f t="shared" si="7"/>
        <v>0</v>
      </c>
      <c r="I315" s="86"/>
      <c r="J315" s="26"/>
      <c r="K315" s="127"/>
      <c r="L315" s="127"/>
    </row>
    <row r="316" spans="1:12" s="29" customFormat="1">
      <c r="A316" s="103"/>
      <c r="B316" s="71"/>
      <c r="C316" s="17"/>
      <c r="D316" s="25" t="s">
        <v>13</v>
      </c>
      <c r="E316" s="366" t="s">
        <v>143</v>
      </c>
      <c r="F316" s="264">
        <f>E310</f>
        <v>1306174.2960000001</v>
      </c>
      <c r="G316" s="434">
        <v>0</v>
      </c>
      <c r="H316" s="265">
        <f t="shared" si="7"/>
        <v>0</v>
      </c>
      <c r="I316" s="86"/>
      <c r="J316" s="26"/>
      <c r="K316" s="127"/>
      <c r="L316" s="127"/>
    </row>
    <row r="317" spans="1:12" s="29" customFormat="1">
      <c r="A317" s="103"/>
      <c r="B317" s="71"/>
      <c r="C317" s="17"/>
      <c r="D317" s="25" t="s">
        <v>136</v>
      </c>
      <c r="E317" s="365" t="s">
        <v>108</v>
      </c>
      <c r="F317" s="263">
        <f>+G311+G312+G316</f>
        <v>2.25</v>
      </c>
      <c r="G317" s="434" t="s">
        <v>127</v>
      </c>
      <c r="H317" s="265">
        <f>SUM(H311:H316)</f>
        <v>5525117.2720800005</v>
      </c>
      <c r="I317" s="83"/>
      <c r="J317" s="26"/>
      <c r="K317" s="127"/>
      <c r="L317" s="127"/>
    </row>
    <row r="318" spans="1:12" s="29" customFormat="1">
      <c r="A318" s="103"/>
      <c r="B318" s="71"/>
      <c r="C318" s="17"/>
      <c r="D318" s="34" t="s">
        <v>126</v>
      </c>
      <c r="E318" s="352" t="s">
        <v>108</v>
      </c>
      <c r="F318" s="264"/>
      <c r="G318" s="434"/>
      <c r="H318" s="265">
        <f>H317*8.33%</f>
        <v>460242.26876426401</v>
      </c>
      <c r="I318" s="84"/>
      <c r="J318" s="81"/>
      <c r="K318" s="127"/>
      <c r="L318" s="127"/>
    </row>
    <row r="319" spans="1:12" s="29" customFormat="1">
      <c r="A319" s="103"/>
      <c r="B319" s="71"/>
      <c r="C319" s="17"/>
      <c r="D319" s="34" t="s">
        <v>233</v>
      </c>
      <c r="E319" s="357"/>
      <c r="F319" s="264"/>
      <c r="G319" s="434"/>
      <c r="H319" s="265">
        <f>H317*7%</f>
        <v>386758.20904560009</v>
      </c>
      <c r="I319" s="85">
        <v>0</v>
      </c>
      <c r="J319" s="31">
        <f>+(H317+H318+H319)*C310</f>
        <v>6372117.7498898646</v>
      </c>
      <c r="K319" s="127"/>
      <c r="L319" s="127"/>
    </row>
    <row r="320" spans="1:12" s="29" customFormat="1">
      <c r="A320" s="103"/>
      <c r="B320" s="71"/>
      <c r="C320" s="17"/>
      <c r="D320" s="32"/>
      <c r="E320" s="343"/>
      <c r="F320" s="263"/>
      <c r="G320" s="436"/>
      <c r="H320" s="267"/>
      <c r="I320" s="86"/>
      <c r="J320" s="26"/>
      <c r="K320" s="127"/>
      <c r="L320" s="127"/>
    </row>
    <row r="321" spans="1:12" s="29" customFormat="1" ht="15" customHeight="1">
      <c r="A321" s="103"/>
      <c r="B321" s="70"/>
      <c r="C321" s="3">
        <v>1</v>
      </c>
      <c r="D321" s="91" t="s">
        <v>304</v>
      </c>
      <c r="E321" s="359">
        <f>' Tablas SAT, AAA &amp; Sutep'!U4</f>
        <v>2481080.3435</v>
      </c>
      <c r="F321" s="263"/>
      <c r="G321" s="436"/>
      <c r="H321" s="267"/>
      <c r="I321" s="87"/>
      <c r="J321" s="45"/>
      <c r="K321" s="127"/>
      <c r="L321" s="127"/>
    </row>
    <row r="322" spans="1:12" s="29" customFormat="1">
      <c r="A322" s="103"/>
      <c r="B322" s="71"/>
      <c r="C322" s="17"/>
      <c r="D322" s="25" t="s">
        <v>83</v>
      </c>
      <c r="E322" s="367" t="s">
        <v>142</v>
      </c>
      <c r="F322" s="264">
        <f>E321</f>
        <v>2481080.3435</v>
      </c>
      <c r="G322" s="434">
        <v>2</v>
      </c>
      <c r="H322" s="265">
        <f t="shared" ref="H322:H327" si="8">+G322*F322</f>
        <v>4962160.6869999999</v>
      </c>
      <c r="I322" s="86"/>
      <c r="J322" s="26"/>
      <c r="K322" s="127"/>
      <c r="L322" s="127"/>
    </row>
    <row r="323" spans="1:12" s="29" customFormat="1">
      <c r="A323" s="103"/>
      <c r="B323" s="71"/>
      <c r="C323" s="17"/>
      <c r="D323" s="25" t="s">
        <v>77</v>
      </c>
      <c r="E323" s="366" t="s">
        <v>142</v>
      </c>
      <c r="F323" s="264">
        <f>F322</f>
        <v>2481080.3435</v>
      </c>
      <c r="G323" s="434">
        <v>2</v>
      </c>
      <c r="H323" s="265">
        <f t="shared" si="8"/>
        <v>4962160.6869999999</v>
      </c>
      <c r="I323" s="86"/>
      <c r="J323" s="26"/>
      <c r="K323" s="127"/>
      <c r="L323" s="127"/>
    </row>
    <row r="324" spans="1:12" s="29" customFormat="1">
      <c r="A324" s="103"/>
      <c r="B324" s="71"/>
      <c r="C324" s="17"/>
      <c r="D324" s="25" t="s">
        <v>137</v>
      </c>
      <c r="E324" s="350">
        <f>22*3</f>
        <v>66</v>
      </c>
      <c r="F324" s="264">
        <f>(F323/150)*2</f>
        <v>33081.071246666666</v>
      </c>
      <c r="G324" s="434">
        <f>+F328</f>
        <v>4</v>
      </c>
      <c r="H324" s="265">
        <f>+G324*F324*E324</f>
        <v>8733402.8091199994</v>
      </c>
      <c r="I324" s="86"/>
      <c r="J324" s="26"/>
      <c r="K324" s="127"/>
      <c r="L324" s="127"/>
    </row>
    <row r="325" spans="1:12" s="29" customFormat="1">
      <c r="A325" s="103"/>
      <c r="B325" s="71"/>
      <c r="C325" s="17"/>
      <c r="D325" s="25" t="s">
        <v>14</v>
      </c>
      <c r="E325" s="365" t="s">
        <v>110</v>
      </c>
      <c r="F325" s="264">
        <v>0</v>
      </c>
      <c r="G325" s="434"/>
      <c r="H325" s="265">
        <f t="shared" si="8"/>
        <v>0</v>
      </c>
      <c r="I325" s="86"/>
      <c r="J325" s="26"/>
      <c r="K325" s="127"/>
      <c r="L325" s="127"/>
    </row>
    <row r="326" spans="1:12" s="29" customFormat="1">
      <c r="A326" s="103"/>
      <c r="B326" s="71"/>
      <c r="C326" s="17"/>
      <c r="D326" s="25" t="s">
        <v>15</v>
      </c>
      <c r="E326" s="365" t="s">
        <v>110</v>
      </c>
      <c r="F326" s="264">
        <v>0</v>
      </c>
      <c r="G326" s="434"/>
      <c r="H326" s="265">
        <f t="shared" si="8"/>
        <v>0</v>
      </c>
      <c r="I326" s="86"/>
      <c r="J326" s="26"/>
      <c r="K326" s="127"/>
      <c r="L326" s="127"/>
    </row>
    <row r="327" spans="1:12" s="29" customFormat="1">
      <c r="A327" s="103"/>
      <c r="B327" s="71"/>
      <c r="C327" s="17"/>
      <c r="D327" s="25" t="s">
        <v>13</v>
      </c>
      <c r="E327" s="366" t="s">
        <v>143</v>
      </c>
      <c r="F327" s="264">
        <f>E321</f>
        <v>2481080.3435</v>
      </c>
      <c r="G327" s="434">
        <v>0</v>
      </c>
      <c r="H327" s="265">
        <f t="shared" si="8"/>
        <v>0</v>
      </c>
      <c r="I327" s="86"/>
      <c r="J327" s="26"/>
      <c r="K327" s="127"/>
      <c r="L327" s="127"/>
    </row>
    <row r="328" spans="1:12" s="29" customFormat="1">
      <c r="A328" s="103"/>
      <c r="B328" s="71"/>
      <c r="C328" s="17"/>
      <c r="D328" s="25" t="s">
        <v>136</v>
      </c>
      <c r="E328" s="365" t="s">
        <v>108</v>
      </c>
      <c r="F328" s="263">
        <f>+G322+G323+G327</f>
        <v>4</v>
      </c>
      <c r="G328" s="434" t="s">
        <v>127</v>
      </c>
      <c r="H328" s="265">
        <f>SUM(H322:H327)</f>
        <v>18657724.183119997</v>
      </c>
      <c r="I328" s="83"/>
      <c r="J328" s="26"/>
      <c r="K328" s="127"/>
      <c r="L328" s="127"/>
    </row>
    <row r="329" spans="1:12" s="29" customFormat="1">
      <c r="A329" s="103"/>
      <c r="B329" s="71"/>
      <c r="C329" s="17"/>
      <c r="D329" s="34" t="s">
        <v>126</v>
      </c>
      <c r="E329" s="352" t="s">
        <v>108</v>
      </c>
      <c r="F329" s="264"/>
      <c r="G329" s="434"/>
      <c r="H329" s="265">
        <f>H328*8.33%</f>
        <v>1554188.4244538958</v>
      </c>
      <c r="I329" s="84"/>
      <c r="J329" s="81"/>
      <c r="K329" s="127"/>
      <c r="L329" s="127"/>
    </row>
    <row r="330" spans="1:12" s="29" customFormat="1">
      <c r="A330" s="103"/>
      <c r="B330" s="71"/>
      <c r="C330" s="17"/>
      <c r="D330" s="34" t="s">
        <v>233</v>
      </c>
      <c r="E330" s="357"/>
      <c r="F330" s="264"/>
      <c r="G330" s="434"/>
      <c r="H330" s="265">
        <f>H328*7%</f>
        <v>1306040.6928184</v>
      </c>
      <c r="I330" s="85">
        <v>0</v>
      </c>
      <c r="J330" s="31">
        <f>+(H328+H329+H330)*C321</f>
        <v>21517953.300392292</v>
      </c>
      <c r="K330" s="127"/>
      <c r="L330" s="127"/>
    </row>
    <row r="331" spans="1:12" s="29" customFormat="1">
      <c r="A331" s="103"/>
      <c r="B331" s="71"/>
      <c r="C331" s="17"/>
      <c r="D331" s="32"/>
      <c r="E331" s="343"/>
      <c r="F331" s="263"/>
      <c r="G331" s="436"/>
      <c r="H331" s="267"/>
      <c r="I331" s="86"/>
      <c r="J331" s="26"/>
      <c r="K331" s="127"/>
      <c r="L331" s="127"/>
    </row>
    <row r="332" spans="1:12" s="29" customFormat="1" ht="15" customHeight="1">
      <c r="A332" s="103"/>
      <c r="B332" s="70"/>
      <c r="C332" s="3">
        <v>1</v>
      </c>
      <c r="D332" s="91" t="s">
        <v>313</v>
      </c>
      <c r="E332" s="359">
        <f>' Tablas SAT, AAA &amp; Sutep'!U6</f>
        <v>1533732.5920000002</v>
      </c>
      <c r="F332" s="263"/>
      <c r="G332" s="436"/>
      <c r="H332" s="267"/>
      <c r="I332" s="87"/>
      <c r="J332" s="45"/>
      <c r="K332" s="127"/>
      <c r="L332" s="127"/>
    </row>
    <row r="333" spans="1:12" s="29" customFormat="1">
      <c r="A333" s="103"/>
      <c r="B333" s="71"/>
      <c r="C333" s="17"/>
      <c r="D333" s="25" t="s">
        <v>83</v>
      </c>
      <c r="E333" s="367" t="s">
        <v>142</v>
      </c>
      <c r="F333" s="264">
        <f>E332</f>
        <v>1533732.5920000002</v>
      </c>
      <c r="G333" s="434">
        <v>2</v>
      </c>
      <c r="H333" s="265">
        <f>+G333*F333</f>
        <v>3067465.1840000004</v>
      </c>
      <c r="I333" s="86"/>
      <c r="J333" s="26"/>
      <c r="K333" s="127"/>
      <c r="L333" s="127"/>
    </row>
    <row r="334" spans="1:12" s="29" customFormat="1">
      <c r="A334" s="103"/>
      <c r="B334" s="71"/>
      <c r="C334" s="17"/>
      <c r="D334" s="25" t="s">
        <v>77</v>
      </c>
      <c r="E334" s="366" t="s">
        <v>142</v>
      </c>
      <c r="F334" s="264">
        <f>F333</f>
        <v>1533732.5920000002</v>
      </c>
      <c r="G334" s="434">
        <v>2</v>
      </c>
      <c r="H334" s="265">
        <f>+G334*F334</f>
        <v>3067465.1840000004</v>
      </c>
      <c r="I334" s="86"/>
      <c r="J334" s="26"/>
      <c r="K334" s="127"/>
      <c r="L334" s="127"/>
    </row>
    <row r="335" spans="1:12" s="29" customFormat="1">
      <c r="A335" s="103"/>
      <c r="B335" s="71"/>
      <c r="C335" s="17"/>
      <c r="D335" s="25" t="s">
        <v>137</v>
      </c>
      <c r="E335" s="350">
        <f>22*3</f>
        <v>66</v>
      </c>
      <c r="F335" s="264">
        <f>(F334/150)*2</f>
        <v>20449.767893333337</v>
      </c>
      <c r="G335" s="434">
        <f>+F339</f>
        <v>4</v>
      </c>
      <c r="H335" s="265">
        <f>+G335*F335*E335</f>
        <v>5398738.723840001</v>
      </c>
      <c r="I335" s="86"/>
      <c r="J335" s="26"/>
      <c r="K335" s="127"/>
      <c r="L335" s="127"/>
    </row>
    <row r="336" spans="1:12" s="29" customFormat="1">
      <c r="A336" s="103"/>
      <c r="B336" s="71"/>
      <c r="C336" s="17"/>
      <c r="D336" s="25" t="s">
        <v>14</v>
      </c>
      <c r="E336" s="365" t="s">
        <v>110</v>
      </c>
      <c r="F336" s="264">
        <v>0</v>
      </c>
      <c r="G336" s="434"/>
      <c r="H336" s="265">
        <f>+G336*F336</f>
        <v>0</v>
      </c>
      <c r="I336" s="86"/>
      <c r="J336" s="26"/>
      <c r="K336" s="127"/>
      <c r="L336" s="127"/>
    </row>
    <row r="337" spans="1:12" s="29" customFormat="1">
      <c r="A337" s="103"/>
      <c r="B337" s="71"/>
      <c r="C337" s="17"/>
      <c r="D337" s="25" t="s">
        <v>15</v>
      </c>
      <c r="E337" s="365" t="s">
        <v>110</v>
      </c>
      <c r="F337" s="264">
        <v>0</v>
      </c>
      <c r="G337" s="434"/>
      <c r="H337" s="265">
        <f>+G337*F337</f>
        <v>0</v>
      </c>
      <c r="I337" s="86"/>
      <c r="J337" s="26"/>
      <c r="K337" s="127"/>
      <c r="L337" s="127"/>
    </row>
    <row r="338" spans="1:12" s="29" customFormat="1">
      <c r="A338" s="103"/>
      <c r="B338" s="71"/>
      <c r="C338" s="17"/>
      <c r="D338" s="25" t="s">
        <v>13</v>
      </c>
      <c r="E338" s="366" t="s">
        <v>143</v>
      </c>
      <c r="F338" s="264">
        <v>37371.11</v>
      </c>
      <c r="G338" s="434">
        <v>0.5</v>
      </c>
      <c r="H338" s="265">
        <f>+G338*F338</f>
        <v>18685.555</v>
      </c>
      <c r="I338" s="86"/>
      <c r="J338" s="26"/>
      <c r="K338" s="127"/>
      <c r="L338" s="127"/>
    </row>
    <row r="339" spans="1:12" s="29" customFormat="1">
      <c r="A339" s="103"/>
      <c r="B339" s="71"/>
      <c r="C339" s="17"/>
      <c r="D339" s="25" t="s">
        <v>136</v>
      </c>
      <c r="E339" s="365" t="s">
        <v>108</v>
      </c>
      <c r="F339" s="263">
        <v>4</v>
      </c>
      <c r="G339" s="434" t="s">
        <v>127</v>
      </c>
      <c r="H339" s="265">
        <f>SUM(H333:H338)</f>
        <v>11552354.646840002</v>
      </c>
      <c r="I339" s="83"/>
      <c r="J339" s="26"/>
      <c r="K339" s="127"/>
      <c r="L339" s="127"/>
    </row>
    <row r="340" spans="1:12" s="29" customFormat="1">
      <c r="A340" s="103"/>
      <c r="B340" s="71"/>
      <c r="C340" s="17"/>
      <c r="D340" s="34" t="s">
        <v>126</v>
      </c>
      <c r="E340" s="352" t="s">
        <v>108</v>
      </c>
      <c r="F340" s="264"/>
      <c r="G340" s="434"/>
      <c r="H340" s="265">
        <f>H339*8.33%</f>
        <v>962311.14208177221</v>
      </c>
      <c r="I340" s="84"/>
      <c r="J340" s="81"/>
      <c r="K340" s="127"/>
      <c r="L340" s="127"/>
    </row>
    <row r="341" spans="1:12" s="29" customFormat="1">
      <c r="A341" s="103"/>
      <c r="B341" s="71"/>
      <c r="C341" s="17"/>
      <c r="D341" s="34" t="s">
        <v>233</v>
      </c>
      <c r="E341" s="357"/>
      <c r="F341" s="264"/>
      <c r="G341" s="434"/>
      <c r="H341" s="265">
        <f>H339*7%</f>
        <v>808664.82527880021</v>
      </c>
      <c r="I341" s="85">
        <v>0</v>
      </c>
      <c r="J341" s="31">
        <f>+(H339+H340+H341)*C332</f>
        <v>13323330.614200575</v>
      </c>
      <c r="K341" s="127"/>
      <c r="L341" s="127"/>
    </row>
    <row r="342" spans="1:12" s="29" customFormat="1">
      <c r="A342" s="103"/>
      <c r="B342" s="71"/>
      <c r="C342" s="17"/>
      <c r="D342" s="32"/>
      <c r="E342" s="343"/>
      <c r="F342" s="263"/>
      <c r="G342" s="436"/>
      <c r="H342" s="267"/>
      <c r="I342" s="86"/>
      <c r="J342" s="26"/>
      <c r="K342" s="127"/>
      <c r="L342" s="127"/>
    </row>
    <row r="343" spans="1:12" s="29" customFormat="1" ht="15" customHeight="1">
      <c r="A343" s="103"/>
      <c r="B343" s="70"/>
      <c r="C343" s="3">
        <v>2</v>
      </c>
      <c r="D343" s="91" t="s">
        <v>362</v>
      </c>
      <c r="E343" s="359">
        <f>' Tablas SAT, AAA &amp; Sutep'!U8</f>
        <v>1306174.2960000001</v>
      </c>
      <c r="F343" s="261"/>
      <c r="G343" s="431"/>
      <c r="H343" s="262"/>
      <c r="I343" s="87"/>
      <c r="J343" s="45"/>
      <c r="K343" s="127"/>
      <c r="L343" s="127"/>
    </row>
    <row r="344" spans="1:12" s="29" customFormat="1">
      <c r="A344" s="103"/>
      <c r="B344" s="71"/>
      <c r="C344" s="17"/>
      <c r="D344" s="25" t="s">
        <v>83</v>
      </c>
      <c r="E344" s="367" t="s">
        <v>142</v>
      </c>
      <c r="F344" s="254">
        <f>E343</f>
        <v>1306174.2960000001</v>
      </c>
      <c r="G344" s="315">
        <v>2</v>
      </c>
      <c r="H344" s="252">
        <f>+G344*F344</f>
        <v>2612348.5920000002</v>
      </c>
      <c r="I344" s="86"/>
      <c r="J344" s="26"/>
      <c r="K344" s="127"/>
      <c r="L344" s="127"/>
    </row>
    <row r="345" spans="1:12" s="29" customFormat="1">
      <c r="A345" s="103"/>
      <c r="B345" s="71"/>
      <c r="C345" s="17"/>
      <c r="D345" s="25" t="s">
        <v>77</v>
      </c>
      <c r="E345" s="366" t="s">
        <v>142</v>
      </c>
      <c r="F345" s="264">
        <f>F344</f>
        <v>1306174.2960000001</v>
      </c>
      <c r="G345" s="434">
        <v>2</v>
      </c>
      <c r="H345" s="265">
        <f>+G345*F345</f>
        <v>2612348.5920000002</v>
      </c>
      <c r="I345" s="86"/>
      <c r="J345" s="26"/>
      <c r="K345" s="127"/>
      <c r="L345" s="127"/>
    </row>
    <row r="346" spans="1:12" s="29" customFormat="1">
      <c r="A346" s="103"/>
      <c r="B346" s="71"/>
      <c r="C346" s="17"/>
      <c r="D346" s="25" t="s">
        <v>137</v>
      </c>
      <c r="E346" s="350">
        <f>22*3</f>
        <v>66</v>
      </c>
      <c r="F346" s="264">
        <f>(F345/150)*2</f>
        <v>17415.657279999999</v>
      </c>
      <c r="G346" s="434">
        <f>+F350</f>
        <v>4</v>
      </c>
      <c r="H346" s="265">
        <f>+G346*F346*E346</f>
        <v>4597733.5219200002</v>
      </c>
      <c r="I346" s="86"/>
      <c r="J346" s="26"/>
      <c r="K346" s="127"/>
      <c r="L346" s="127"/>
    </row>
    <row r="347" spans="1:12" s="29" customFormat="1">
      <c r="A347" s="103"/>
      <c r="B347" s="71"/>
      <c r="C347" s="17"/>
      <c r="D347" s="25" t="s">
        <v>14</v>
      </c>
      <c r="E347" s="365" t="s">
        <v>110</v>
      </c>
      <c r="F347" s="264">
        <v>0</v>
      </c>
      <c r="G347" s="434"/>
      <c r="H347" s="265">
        <f>+G347*F347</f>
        <v>0</v>
      </c>
      <c r="I347" s="86"/>
      <c r="J347" s="26"/>
      <c r="K347" s="127"/>
      <c r="L347" s="127"/>
    </row>
    <row r="348" spans="1:12" s="29" customFormat="1">
      <c r="A348" s="103"/>
      <c r="B348" s="71"/>
      <c r="C348" s="17"/>
      <c r="D348" s="25" t="s">
        <v>15</v>
      </c>
      <c r="E348" s="365" t="s">
        <v>110</v>
      </c>
      <c r="F348" s="264">
        <v>0</v>
      </c>
      <c r="G348" s="434"/>
      <c r="H348" s="265">
        <f>+G348*F348</f>
        <v>0</v>
      </c>
      <c r="I348" s="86"/>
      <c r="J348" s="26"/>
      <c r="K348" s="127"/>
      <c r="L348" s="127"/>
    </row>
    <row r="349" spans="1:12" s="29" customFormat="1">
      <c r="A349" s="103"/>
      <c r="B349" s="71"/>
      <c r="C349" s="17"/>
      <c r="D349" s="25" t="s">
        <v>13</v>
      </c>
      <c r="E349" s="366" t="s">
        <v>143</v>
      </c>
      <c r="F349" s="264">
        <v>31896.03</v>
      </c>
      <c r="G349" s="434">
        <v>0.5</v>
      </c>
      <c r="H349" s="265">
        <f>+G349*F349</f>
        <v>15948.014999999999</v>
      </c>
      <c r="I349" s="86"/>
      <c r="J349" s="26"/>
      <c r="K349" s="127"/>
      <c r="L349" s="127"/>
    </row>
    <row r="350" spans="1:12" s="29" customFormat="1">
      <c r="A350" s="103"/>
      <c r="B350" s="71"/>
      <c r="C350" s="17"/>
      <c r="D350" s="25" t="s">
        <v>136</v>
      </c>
      <c r="E350" s="365" t="s">
        <v>108</v>
      </c>
      <c r="F350" s="263">
        <v>4</v>
      </c>
      <c r="G350" s="434" t="s">
        <v>127</v>
      </c>
      <c r="H350" s="265">
        <f>SUM(H344:H349)</f>
        <v>9838378.7209200002</v>
      </c>
      <c r="I350" s="83"/>
      <c r="J350" s="26"/>
      <c r="K350" s="127"/>
      <c r="L350" s="127"/>
    </row>
    <row r="351" spans="1:12" s="29" customFormat="1">
      <c r="A351" s="103"/>
      <c r="B351" s="71"/>
      <c r="C351" s="17"/>
      <c r="D351" s="34" t="s">
        <v>126</v>
      </c>
      <c r="E351" s="352" t="s">
        <v>108</v>
      </c>
      <c r="F351" s="264"/>
      <c r="G351" s="434"/>
      <c r="H351" s="265">
        <f>H350*8.33%</f>
        <v>819536.94745263597</v>
      </c>
      <c r="I351" s="84"/>
      <c r="J351" s="81"/>
      <c r="K351" s="127"/>
      <c r="L351" s="127"/>
    </row>
    <row r="352" spans="1:12" s="29" customFormat="1">
      <c r="A352" s="103"/>
      <c r="B352" s="71"/>
      <c r="C352" s="17"/>
      <c r="D352" s="34" t="s">
        <v>233</v>
      </c>
      <c r="E352" s="357"/>
      <c r="F352" s="264"/>
      <c r="G352" s="434"/>
      <c r="H352" s="265">
        <f>H350*7%</f>
        <v>688686.51046440005</v>
      </c>
      <c r="I352" s="85">
        <v>0</v>
      </c>
      <c r="J352" s="31">
        <f>+(H350+H351+H352)*C343</f>
        <v>22693204.357674073</v>
      </c>
      <c r="K352" s="127"/>
      <c r="L352" s="127"/>
    </row>
    <row r="353" spans="1:12" s="29" customFormat="1">
      <c r="A353" s="103"/>
      <c r="B353" s="71"/>
      <c r="C353" s="17"/>
      <c r="D353" s="32"/>
      <c r="E353" s="343"/>
      <c r="F353" s="263"/>
      <c r="G353" s="436"/>
      <c r="H353" s="267"/>
      <c r="I353" s="86"/>
      <c r="J353" s="26"/>
      <c r="K353" s="127"/>
      <c r="L353" s="127"/>
    </row>
    <row r="354" spans="1:12" s="29" customFormat="1" ht="15" customHeight="1">
      <c r="A354" s="103"/>
      <c r="B354" s="70"/>
      <c r="C354" s="3">
        <v>1</v>
      </c>
      <c r="D354" s="91" t="s">
        <v>347</v>
      </c>
      <c r="E354" s="359">
        <f>' Tablas SAT, AAA &amp; Sutep'!U5</f>
        <v>1760747.4079999998</v>
      </c>
      <c r="F354" s="263"/>
      <c r="G354" s="436"/>
      <c r="H354" s="267"/>
      <c r="I354" s="87"/>
      <c r="J354" s="45"/>
      <c r="K354" s="127"/>
      <c r="L354" s="127"/>
    </row>
    <row r="355" spans="1:12" s="29" customFormat="1">
      <c r="A355" s="103"/>
      <c r="B355" s="71"/>
      <c r="C355" s="17"/>
      <c r="D355" s="25" t="s">
        <v>83</v>
      </c>
      <c r="E355" s="367" t="s">
        <v>142</v>
      </c>
      <c r="F355" s="264">
        <f>E354</f>
        <v>1760747.4079999998</v>
      </c>
      <c r="G355" s="434">
        <v>2</v>
      </c>
      <c r="H355" s="265">
        <f>+G355*F355</f>
        <v>3521494.8159999996</v>
      </c>
      <c r="I355" s="86"/>
      <c r="J355" s="26"/>
      <c r="K355" s="127"/>
      <c r="L355" s="127"/>
    </row>
    <row r="356" spans="1:12" s="29" customFormat="1">
      <c r="A356" s="103"/>
      <c r="B356" s="71"/>
      <c r="C356" s="17"/>
      <c r="D356" s="25" t="s">
        <v>77</v>
      </c>
      <c r="E356" s="366" t="s">
        <v>142</v>
      </c>
      <c r="F356" s="264">
        <f>F355</f>
        <v>1760747.4079999998</v>
      </c>
      <c r="G356" s="434">
        <v>2</v>
      </c>
      <c r="H356" s="265">
        <f>+G356*F356</f>
        <v>3521494.8159999996</v>
      </c>
      <c r="I356" s="86"/>
      <c r="J356" s="26"/>
      <c r="K356" s="127"/>
      <c r="L356" s="127"/>
    </row>
    <row r="357" spans="1:12" s="29" customFormat="1">
      <c r="A357" s="103"/>
      <c r="B357" s="71"/>
      <c r="C357" s="17"/>
      <c r="D357" s="25" t="s">
        <v>137</v>
      </c>
      <c r="E357" s="350">
        <f>22*3</f>
        <v>66</v>
      </c>
      <c r="F357" s="264">
        <f>(F356/150)*2</f>
        <v>23476.632106666664</v>
      </c>
      <c r="G357" s="434">
        <f>+F361</f>
        <v>4</v>
      </c>
      <c r="H357" s="265">
        <f>+G357*F357*E357</f>
        <v>6197830.8761599995</v>
      </c>
      <c r="I357" s="86"/>
      <c r="J357" s="26"/>
      <c r="K357" s="127"/>
      <c r="L357" s="127"/>
    </row>
    <row r="358" spans="1:12" s="29" customFormat="1">
      <c r="A358" s="103"/>
      <c r="B358" s="71"/>
      <c r="C358" s="17"/>
      <c r="D358" s="25" t="s">
        <v>14</v>
      </c>
      <c r="E358" s="365" t="s">
        <v>110</v>
      </c>
      <c r="F358" s="264">
        <v>0</v>
      </c>
      <c r="G358" s="434"/>
      <c r="H358" s="265">
        <f>+G358*F358</f>
        <v>0</v>
      </c>
      <c r="I358" s="86"/>
      <c r="J358" s="26"/>
      <c r="K358" s="127"/>
      <c r="L358" s="127"/>
    </row>
    <row r="359" spans="1:12" s="29" customFormat="1">
      <c r="A359" s="103"/>
      <c r="B359" s="71"/>
      <c r="C359" s="17"/>
      <c r="D359" s="25" t="s">
        <v>15</v>
      </c>
      <c r="E359" s="365" t="s">
        <v>110</v>
      </c>
      <c r="F359" s="264">
        <v>0</v>
      </c>
      <c r="G359" s="434"/>
      <c r="H359" s="265">
        <f>+G359*F359</f>
        <v>0</v>
      </c>
      <c r="I359" s="86"/>
      <c r="J359" s="26"/>
      <c r="K359" s="127"/>
      <c r="L359" s="127"/>
    </row>
    <row r="360" spans="1:12" s="29" customFormat="1">
      <c r="A360" s="103"/>
      <c r="B360" s="71"/>
      <c r="C360" s="17"/>
      <c r="D360" s="25" t="s">
        <v>13</v>
      </c>
      <c r="E360" s="366" t="s">
        <v>143</v>
      </c>
      <c r="F360" s="264">
        <f>E354</f>
        <v>1760747.4079999998</v>
      </c>
      <c r="G360" s="434">
        <v>0</v>
      </c>
      <c r="H360" s="265">
        <f>+G360*F360</f>
        <v>0</v>
      </c>
      <c r="I360" s="86"/>
      <c r="J360" s="26"/>
      <c r="K360" s="127"/>
      <c r="L360" s="127"/>
    </row>
    <row r="361" spans="1:12" s="29" customFormat="1">
      <c r="A361" s="103"/>
      <c r="B361" s="71"/>
      <c r="C361" s="17"/>
      <c r="D361" s="25" t="s">
        <v>136</v>
      </c>
      <c r="E361" s="365" t="s">
        <v>108</v>
      </c>
      <c r="F361" s="263">
        <f>+G355+G356+G360</f>
        <v>4</v>
      </c>
      <c r="G361" s="434" t="s">
        <v>127</v>
      </c>
      <c r="H361" s="265">
        <f>SUM(H355:H360)</f>
        <v>13240820.508159999</v>
      </c>
      <c r="I361" s="83"/>
      <c r="J361" s="26"/>
      <c r="K361" s="127"/>
      <c r="L361" s="127"/>
    </row>
    <row r="362" spans="1:12" s="29" customFormat="1">
      <c r="A362" s="103"/>
      <c r="B362" s="71"/>
      <c r="C362" s="17"/>
      <c r="D362" s="34" t="s">
        <v>126</v>
      </c>
      <c r="E362" s="352" t="s">
        <v>108</v>
      </c>
      <c r="F362" s="264"/>
      <c r="G362" s="434"/>
      <c r="H362" s="265">
        <f>H361*8.33%</f>
        <v>1102960.348329728</v>
      </c>
      <c r="I362" s="84"/>
      <c r="J362" s="81"/>
      <c r="K362" s="127"/>
      <c r="L362" s="127"/>
    </row>
    <row r="363" spans="1:12" s="29" customFormat="1">
      <c r="A363" s="103"/>
      <c r="B363" s="71"/>
      <c r="C363" s="17"/>
      <c r="D363" s="34" t="s">
        <v>233</v>
      </c>
      <c r="E363" s="357"/>
      <c r="F363" s="264"/>
      <c r="G363" s="434"/>
      <c r="H363" s="265">
        <f>H361*7%</f>
        <v>926857.43557119998</v>
      </c>
      <c r="I363" s="85">
        <v>0</v>
      </c>
      <c r="J363" s="31">
        <f>+(H361+H362+H363)*C354</f>
        <v>15270638.292060927</v>
      </c>
      <c r="K363" s="127"/>
      <c r="L363" s="127"/>
    </row>
    <row r="364" spans="1:12" s="29" customFormat="1">
      <c r="A364" s="103"/>
      <c r="B364" s="71"/>
      <c r="C364" s="17"/>
      <c r="D364" s="32"/>
      <c r="E364" s="343"/>
      <c r="F364" s="263"/>
      <c r="G364" s="436"/>
      <c r="H364" s="267"/>
      <c r="I364" s="86"/>
      <c r="J364" s="26"/>
      <c r="K364" s="127"/>
      <c r="L364" s="127"/>
    </row>
    <row r="365" spans="1:12" s="29" customFormat="1" ht="15" customHeight="1">
      <c r="A365" s="103"/>
      <c r="B365" s="70"/>
      <c r="C365" s="3">
        <v>2</v>
      </c>
      <c r="D365" s="91" t="s">
        <v>363</v>
      </c>
      <c r="E365" s="359">
        <f>' Tablas SAT, AAA &amp; Sutep'!U8</f>
        <v>1306174.2960000001</v>
      </c>
      <c r="F365" s="263"/>
      <c r="G365" s="436"/>
      <c r="H365" s="267"/>
      <c r="I365" s="87"/>
      <c r="J365" s="45"/>
      <c r="K365" s="127"/>
      <c r="L365" s="127"/>
    </row>
    <row r="366" spans="1:12" s="29" customFormat="1">
      <c r="A366" s="103"/>
      <c r="B366" s="71"/>
      <c r="C366" s="17"/>
      <c r="D366" s="25" t="s">
        <v>83</v>
      </c>
      <c r="E366" s="367" t="s">
        <v>142</v>
      </c>
      <c r="F366" s="264">
        <f>E365</f>
        <v>1306174.2960000001</v>
      </c>
      <c r="G366" s="434">
        <v>0.5</v>
      </c>
      <c r="H366" s="265">
        <f t="shared" ref="H366:H371" si="9">+G366*F366</f>
        <v>653087.14800000004</v>
      </c>
      <c r="I366" s="86"/>
      <c r="J366" s="26"/>
      <c r="K366" s="127"/>
      <c r="L366" s="127"/>
    </row>
    <row r="367" spans="1:12" s="29" customFormat="1">
      <c r="A367" s="103"/>
      <c r="B367" s="71"/>
      <c r="C367" s="17"/>
      <c r="D367" s="25" t="s">
        <v>77</v>
      </c>
      <c r="E367" s="366" t="s">
        <v>142</v>
      </c>
      <c r="F367" s="264">
        <f>F366</f>
        <v>1306174.2960000001</v>
      </c>
      <c r="G367" s="434">
        <v>2</v>
      </c>
      <c r="H367" s="265">
        <f t="shared" si="9"/>
        <v>2612348.5920000002</v>
      </c>
      <c r="I367" s="86"/>
      <c r="J367" s="26"/>
      <c r="K367" s="127"/>
      <c r="L367" s="127"/>
    </row>
    <row r="368" spans="1:12" s="29" customFormat="1">
      <c r="A368" s="103"/>
      <c r="B368" s="71"/>
      <c r="C368" s="17"/>
      <c r="D368" s="25" t="s">
        <v>137</v>
      </c>
      <c r="E368" s="350">
        <f>22*3</f>
        <v>66</v>
      </c>
      <c r="F368" s="264">
        <f>(F367/150)*2</f>
        <v>17415.657279999999</v>
      </c>
      <c r="G368" s="434">
        <f>+F372</f>
        <v>3</v>
      </c>
      <c r="H368" s="265">
        <f>+G368*F368*E368</f>
        <v>3448300.1414399999</v>
      </c>
      <c r="I368" s="86"/>
      <c r="J368" s="26"/>
      <c r="K368" s="127"/>
      <c r="L368" s="127"/>
    </row>
    <row r="369" spans="1:12" s="29" customFormat="1">
      <c r="A369" s="103"/>
      <c r="B369" s="71"/>
      <c r="C369" s="17"/>
      <c r="D369" s="25" t="s">
        <v>14</v>
      </c>
      <c r="E369" s="365" t="s">
        <v>110</v>
      </c>
      <c r="F369" s="264">
        <v>0</v>
      </c>
      <c r="G369" s="434"/>
      <c r="H369" s="265">
        <f t="shared" si="9"/>
        <v>0</v>
      </c>
      <c r="I369" s="86"/>
      <c r="J369" s="26"/>
      <c r="K369" s="127"/>
      <c r="L369" s="127"/>
    </row>
    <row r="370" spans="1:12" s="29" customFormat="1">
      <c r="A370" s="103"/>
      <c r="B370" s="71"/>
      <c r="C370" s="17"/>
      <c r="D370" s="25" t="s">
        <v>15</v>
      </c>
      <c r="E370" s="365" t="s">
        <v>110</v>
      </c>
      <c r="F370" s="264">
        <v>0</v>
      </c>
      <c r="G370" s="434"/>
      <c r="H370" s="265">
        <f t="shared" si="9"/>
        <v>0</v>
      </c>
      <c r="I370" s="86"/>
      <c r="J370" s="26"/>
      <c r="K370" s="127"/>
      <c r="L370" s="127"/>
    </row>
    <row r="371" spans="1:12" s="29" customFormat="1">
      <c r="A371" s="103"/>
      <c r="B371" s="71"/>
      <c r="C371" s="17"/>
      <c r="D371" s="25" t="s">
        <v>13</v>
      </c>
      <c r="E371" s="366" t="s">
        <v>143</v>
      </c>
      <c r="F371" s="264">
        <f>E365</f>
        <v>1306174.2960000001</v>
      </c>
      <c r="G371" s="434">
        <v>0.5</v>
      </c>
      <c r="H371" s="265">
        <f t="shared" si="9"/>
        <v>653087.14800000004</v>
      </c>
      <c r="I371" s="86"/>
      <c r="J371" s="26"/>
      <c r="K371" s="127"/>
      <c r="L371" s="127"/>
    </row>
    <row r="372" spans="1:12" s="29" customFormat="1">
      <c r="A372" s="103"/>
      <c r="B372" s="71"/>
      <c r="C372" s="17"/>
      <c r="D372" s="25" t="s">
        <v>136</v>
      </c>
      <c r="E372" s="365" t="s">
        <v>108</v>
      </c>
      <c r="F372" s="263">
        <f>+G366+G367+G371</f>
        <v>3</v>
      </c>
      <c r="G372" s="434" t="s">
        <v>127</v>
      </c>
      <c r="H372" s="265">
        <f>SUM(H366:H371)</f>
        <v>7366823.0294400007</v>
      </c>
      <c r="I372" s="83"/>
      <c r="J372" s="26"/>
      <c r="K372" s="127"/>
      <c r="L372" s="127"/>
    </row>
    <row r="373" spans="1:12" s="29" customFormat="1">
      <c r="A373" s="103"/>
      <c r="B373" s="71"/>
      <c r="C373" s="17"/>
      <c r="D373" s="34" t="s">
        <v>126</v>
      </c>
      <c r="E373" s="352" t="s">
        <v>108</v>
      </c>
      <c r="F373" s="264"/>
      <c r="G373" s="434"/>
      <c r="H373" s="265">
        <f>H372*8.33%</f>
        <v>613656.35835235205</v>
      </c>
      <c r="I373" s="84"/>
      <c r="J373" s="81"/>
      <c r="K373" s="127"/>
      <c r="L373" s="127"/>
    </row>
    <row r="374" spans="1:12" s="29" customFormat="1">
      <c r="A374" s="103"/>
      <c r="B374" s="71"/>
      <c r="C374" s="17"/>
      <c r="D374" s="34" t="s">
        <v>233</v>
      </c>
      <c r="E374" s="357"/>
      <c r="F374" s="264"/>
      <c r="G374" s="434"/>
      <c r="H374" s="265">
        <f>H372*7%</f>
        <v>515677.61206080008</v>
      </c>
      <c r="I374" s="85">
        <v>0</v>
      </c>
      <c r="J374" s="31">
        <f>+(H372+H373+H374)*C365</f>
        <v>16992313.999706306</v>
      </c>
      <c r="K374" s="127"/>
      <c r="L374" s="127"/>
    </row>
    <row r="375" spans="1:12" s="29" customFormat="1">
      <c r="A375" s="103"/>
      <c r="B375" s="71"/>
      <c r="C375" s="17"/>
      <c r="D375" s="32"/>
      <c r="E375" s="343"/>
      <c r="F375" s="263"/>
      <c r="G375" s="436"/>
      <c r="H375" s="267"/>
      <c r="I375" s="86"/>
      <c r="J375" s="26"/>
      <c r="K375" s="127"/>
      <c r="L375" s="127"/>
    </row>
    <row r="376" spans="1:12" s="29" customFormat="1" ht="15" customHeight="1">
      <c r="A376" s="103"/>
      <c r="B376" s="70"/>
      <c r="C376" s="3">
        <v>1</v>
      </c>
      <c r="D376" s="91" t="s">
        <v>314</v>
      </c>
      <c r="E376" s="359">
        <f>' Tablas SAT, AAA &amp; Sutep'!U4</f>
        <v>2481080.3435</v>
      </c>
      <c r="F376" s="263"/>
      <c r="G376" s="436"/>
      <c r="H376" s="267"/>
      <c r="I376" s="87"/>
      <c r="J376" s="45"/>
      <c r="K376" s="127"/>
      <c r="L376" s="127"/>
    </row>
    <row r="377" spans="1:12" s="29" customFormat="1">
      <c r="A377" s="103"/>
      <c r="B377" s="71"/>
      <c r="C377" s="17"/>
      <c r="D377" s="25" t="s">
        <v>83</v>
      </c>
      <c r="E377" s="367" t="s">
        <v>142</v>
      </c>
      <c r="F377" s="254">
        <f>E376</f>
        <v>2481080.3435</v>
      </c>
      <c r="G377" s="315">
        <v>2</v>
      </c>
      <c r="H377" s="252">
        <f t="shared" ref="H377:H382" si="10">+G377*F377</f>
        <v>4962160.6869999999</v>
      </c>
      <c r="I377" s="86"/>
      <c r="J377" s="26"/>
      <c r="K377" s="127"/>
      <c r="L377" s="127"/>
    </row>
    <row r="378" spans="1:12" s="29" customFormat="1">
      <c r="A378" s="103"/>
      <c r="B378" s="71"/>
      <c r="C378" s="17"/>
      <c r="D378" s="25" t="s">
        <v>77</v>
      </c>
      <c r="E378" s="366" t="s">
        <v>142</v>
      </c>
      <c r="F378" s="254">
        <f>F377</f>
        <v>2481080.3435</v>
      </c>
      <c r="G378" s="315">
        <v>2</v>
      </c>
      <c r="H378" s="252">
        <f t="shared" si="10"/>
        <v>4962160.6869999999</v>
      </c>
      <c r="I378" s="86"/>
      <c r="J378" s="26"/>
      <c r="K378" s="127"/>
      <c r="L378" s="127"/>
    </row>
    <row r="379" spans="1:12" s="29" customFormat="1">
      <c r="A379" s="103"/>
      <c r="B379" s="71"/>
      <c r="C379" s="17"/>
      <c r="D379" s="25" t="s">
        <v>137</v>
      </c>
      <c r="E379" s="350">
        <f>22*3</f>
        <v>66</v>
      </c>
      <c r="F379" s="254">
        <f>(F378/150)*2</f>
        <v>33081.071246666666</v>
      </c>
      <c r="G379" s="315">
        <f>+F383</f>
        <v>4</v>
      </c>
      <c r="H379" s="252">
        <f>+G379*F379*E379</f>
        <v>8733402.8091199994</v>
      </c>
      <c r="I379" s="86"/>
      <c r="J379" s="26"/>
      <c r="K379" s="127"/>
      <c r="L379" s="127"/>
    </row>
    <row r="380" spans="1:12" s="29" customFormat="1">
      <c r="A380" s="103"/>
      <c r="B380" s="71"/>
      <c r="C380" s="17"/>
      <c r="D380" s="25" t="s">
        <v>14</v>
      </c>
      <c r="E380" s="365" t="s">
        <v>110</v>
      </c>
      <c r="F380" s="254">
        <v>0</v>
      </c>
      <c r="G380" s="315"/>
      <c r="H380" s="252">
        <f t="shared" si="10"/>
        <v>0</v>
      </c>
      <c r="I380" s="86"/>
      <c r="J380" s="26"/>
      <c r="K380" s="127"/>
      <c r="L380" s="127"/>
    </row>
    <row r="381" spans="1:12" s="29" customFormat="1">
      <c r="A381" s="103"/>
      <c r="B381" s="71"/>
      <c r="C381" s="17"/>
      <c r="D381" s="25" t="s">
        <v>15</v>
      </c>
      <c r="E381" s="365" t="s">
        <v>110</v>
      </c>
      <c r="F381" s="264">
        <v>0</v>
      </c>
      <c r="G381" s="434"/>
      <c r="H381" s="265">
        <f t="shared" si="10"/>
        <v>0</v>
      </c>
      <c r="I381" s="86"/>
      <c r="J381" s="26"/>
      <c r="K381" s="127"/>
      <c r="L381" s="127"/>
    </row>
    <row r="382" spans="1:12" s="29" customFormat="1">
      <c r="A382" s="103"/>
      <c r="B382" s="71"/>
      <c r="C382" s="17"/>
      <c r="D382" s="25" t="s">
        <v>13</v>
      </c>
      <c r="E382" s="366" t="s">
        <v>143</v>
      </c>
      <c r="F382" s="264">
        <v>43881.81</v>
      </c>
      <c r="G382" s="434">
        <v>0</v>
      </c>
      <c r="H382" s="265">
        <f t="shared" si="10"/>
        <v>0</v>
      </c>
      <c r="I382" s="86"/>
      <c r="J382" s="26"/>
      <c r="K382" s="127"/>
      <c r="L382" s="127"/>
    </row>
    <row r="383" spans="1:12" s="29" customFormat="1">
      <c r="A383" s="103"/>
      <c r="B383" s="71"/>
      <c r="C383" s="17"/>
      <c r="D383" s="25" t="s">
        <v>136</v>
      </c>
      <c r="E383" s="365" t="s">
        <v>108</v>
      </c>
      <c r="F383" s="263">
        <f>+G377+G378+G382</f>
        <v>4</v>
      </c>
      <c r="G383" s="434" t="s">
        <v>127</v>
      </c>
      <c r="H383" s="265">
        <f>SUM(H377:H382)</f>
        <v>18657724.183119997</v>
      </c>
      <c r="I383" s="83"/>
      <c r="J383" s="26"/>
      <c r="K383" s="127"/>
      <c r="L383" s="127"/>
    </row>
    <row r="384" spans="1:12" s="29" customFormat="1">
      <c r="A384" s="103"/>
      <c r="B384" s="71"/>
      <c r="C384" s="17"/>
      <c r="D384" s="34" t="s">
        <v>126</v>
      </c>
      <c r="E384" s="352" t="s">
        <v>108</v>
      </c>
      <c r="F384" s="264"/>
      <c r="G384" s="434"/>
      <c r="H384" s="265">
        <f>H383*8.33%</f>
        <v>1554188.4244538958</v>
      </c>
      <c r="I384" s="84"/>
      <c r="J384" s="81"/>
      <c r="K384" s="127"/>
      <c r="L384" s="127"/>
    </row>
    <row r="385" spans="1:12" s="29" customFormat="1">
      <c r="A385" s="103"/>
      <c r="B385" s="71"/>
      <c r="C385" s="17"/>
      <c r="D385" s="34" t="s">
        <v>233</v>
      </c>
      <c r="E385" s="357"/>
      <c r="F385" s="264"/>
      <c r="G385" s="434"/>
      <c r="H385" s="265">
        <f>H383*7%</f>
        <v>1306040.6928184</v>
      </c>
      <c r="I385" s="85">
        <v>0</v>
      </c>
      <c r="J385" s="31">
        <f>+(H383+H384+H385)*C376</f>
        <v>21517953.300392292</v>
      </c>
      <c r="K385" s="127"/>
      <c r="L385" s="127"/>
    </row>
    <row r="386" spans="1:12" s="29" customFormat="1">
      <c r="A386" s="103"/>
      <c r="B386" s="71"/>
      <c r="C386" s="17"/>
      <c r="D386" s="32"/>
      <c r="E386" s="343"/>
      <c r="F386" s="263"/>
      <c r="G386" s="436"/>
      <c r="H386" s="267"/>
      <c r="I386" s="86"/>
      <c r="J386" s="26"/>
      <c r="K386" s="127"/>
      <c r="L386" s="127"/>
    </row>
    <row r="387" spans="1:12" s="29" customFormat="1" ht="15" customHeight="1">
      <c r="A387" s="103"/>
      <c r="B387" s="70"/>
      <c r="C387" s="3">
        <v>1</v>
      </c>
      <c r="D387" s="91" t="s">
        <v>315</v>
      </c>
      <c r="E387" s="359">
        <f>' Tablas SAT, AAA &amp; Sutep'!U6</f>
        <v>1533732.5920000002</v>
      </c>
      <c r="F387" s="263"/>
      <c r="G387" s="436"/>
      <c r="H387" s="267"/>
      <c r="I387" s="87"/>
      <c r="J387" s="45"/>
      <c r="K387" s="127"/>
      <c r="L387" s="127"/>
    </row>
    <row r="388" spans="1:12" s="29" customFormat="1">
      <c r="A388" s="103"/>
      <c r="B388" s="71"/>
      <c r="C388" s="17"/>
      <c r="D388" s="25" t="s">
        <v>83</v>
      </c>
      <c r="E388" s="367" t="s">
        <v>142</v>
      </c>
      <c r="F388" s="264">
        <f>E387</f>
        <v>1533732.5920000002</v>
      </c>
      <c r="G388" s="434">
        <v>2</v>
      </c>
      <c r="H388" s="265">
        <f>+G388*F388</f>
        <v>3067465.1840000004</v>
      </c>
      <c r="I388" s="86"/>
      <c r="J388" s="26"/>
      <c r="K388" s="127"/>
      <c r="L388" s="127"/>
    </row>
    <row r="389" spans="1:12" s="29" customFormat="1">
      <c r="A389" s="103"/>
      <c r="B389" s="71"/>
      <c r="C389" s="17"/>
      <c r="D389" s="25" t="s">
        <v>77</v>
      </c>
      <c r="E389" s="366" t="s">
        <v>142</v>
      </c>
      <c r="F389" s="264">
        <f>F388</f>
        <v>1533732.5920000002</v>
      </c>
      <c r="G389" s="434">
        <v>2</v>
      </c>
      <c r="H389" s="265">
        <f>+G389*F389</f>
        <v>3067465.1840000004</v>
      </c>
      <c r="I389" s="86"/>
      <c r="J389" s="26"/>
      <c r="K389" s="127"/>
      <c r="L389" s="127"/>
    </row>
    <row r="390" spans="1:12" s="29" customFormat="1">
      <c r="A390" s="103"/>
      <c r="B390" s="71"/>
      <c r="C390" s="17"/>
      <c r="D390" s="25" t="s">
        <v>137</v>
      </c>
      <c r="E390" s="350">
        <f>22*3</f>
        <v>66</v>
      </c>
      <c r="F390" s="264">
        <f>(F389/150)*2</f>
        <v>20449.767893333337</v>
      </c>
      <c r="G390" s="434">
        <f>+F394</f>
        <v>4</v>
      </c>
      <c r="H390" s="265">
        <f>+G390*F390*E390</f>
        <v>5398738.723840001</v>
      </c>
      <c r="I390" s="86"/>
      <c r="J390" s="26"/>
      <c r="K390" s="127"/>
      <c r="L390" s="127"/>
    </row>
    <row r="391" spans="1:12" s="29" customFormat="1">
      <c r="A391" s="103"/>
      <c r="B391" s="71"/>
      <c r="C391" s="17"/>
      <c r="D391" s="25" t="s">
        <v>14</v>
      </c>
      <c r="E391" s="365" t="s">
        <v>110</v>
      </c>
      <c r="F391" s="264">
        <v>0</v>
      </c>
      <c r="G391" s="434"/>
      <c r="H391" s="265">
        <f>+G391*F391</f>
        <v>0</v>
      </c>
      <c r="I391" s="86"/>
      <c r="J391" s="26"/>
      <c r="K391" s="127"/>
      <c r="L391" s="127"/>
    </row>
    <row r="392" spans="1:12" s="29" customFormat="1">
      <c r="A392" s="103"/>
      <c r="B392" s="71"/>
      <c r="C392" s="17"/>
      <c r="D392" s="25" t="s">
        <v>15</v>
      </c>
      <c r="E392" s="365" t="s">
        <v>110</v>
      </c>
      <c r="F392" s="264">
        <v>0</v>
      </c>
      <c r="G392" s="434"/>
      <c r="H392" s="265">
        <f>+G392*F392</f>
        <v>0</v>
      </c>
      <c r="I392" s="86"/>
      <c r="J392" s="26"/>
      <c r="K392" s="127"/>
      <c r="L392" s="127"/>
    </row>
    <row r="393" spans="1:12" s="29" customFormat="1">
      <c r="A393" s="103"/>
      <c r="B393" s="71"/>
      <c r="C393" s="17"/>
      <c r="D393" s="25" t="s">
        <v>13</v>
      </c>
      <c r="E393" s="366" t="s">
        <v>143</v>
      </c>
      <c r="F393" s="264">
        <v>37371.11</v>
      </c>
      <c r="G393" s="434">
        <v>0</v>
      </c>
      <c r="H393" s="265">
        <f>+G393*F393</f>
        <v>0</v>
      </c>
      <c r="I393" s="86"/>
      <c r="J393" s="26"/>
      <c r="K393" s="127"/>
      <c r="L393" s="127"/>
    </row>
    <row r="394" spans="1:12" s="29" customFormat="1">
      <c r="A394" s="103"/>
      <c r="B394" s="71"/>
      <c r="C394" s="17"/>
      <c r="D394" s="25" t="s">
        <v>136</v>
      </c>
      <c r="E394" s="365" t="s">
        <v>108</v>
      </c>
      <c r="F394" s="263">
        <v>4</v>
      </c>
      <c r="G394" s="434" t="s">
        <v>127</v>
      </c>
      <c r="H394" s="265">
        <f>SUM(H388:H393)</f>
        <v>11533669.091840003</v>
      </c>
      <c r="I394" s="83"/>
      <c r="J394" s="26"/>
      <c r="K394" s="127"/>
      <c r="L394" s="127"/>
    </row>
    <row r="395" spans="1:12" s="29" customFormat="1">
      <c r="A395" s="103"/>
      <c r="B395" s="71"/>
      <c r="C395" s="17"/>
      <c r="D395" s="34" t="s">
        <v>126</v>
      </c>
      <c r="E395" s="352" t="s">
        <v>108</v>
      </c>
      <c r="F395" s="264"/>
      <c r="G395" s="434"/>
      <c r="H395" s="265">
        <f>H394*8.33%</f>
        <v>960754.63535027218</v>
      </c>
      <c r="I395" s="84"/>
      <c r="J395" s="81"/>
      <c r="K395" s="127"/>
      <c r="L395" s="127"/>
    </row>
    <row r="396" spans="1:12" s="29" customFormat="1">
      <c r="A396" s="103"/>
      <c r="B396" s="71"/>
      <c r="C396" s="17"/>
      <c r="D396" s="34" t="s">
        <v>233</v>
      </c>
      <c r="E396" s="357"/>
      <c r="F396" s="264"/>
      <c r="G396" s="434"/>
      <c r="H396" s="265">
        <f>H394*7%</f>
        <v>807356.83642880025</v>
      </c>
      <c r="I396" s="85">
        <v>0</v>
      </c>
      <c r="J396" s="31">
        <f>+(H394+H395+H396)*C387</f>
        <v>13301780.563619075</v>
      </c>
      <c r="K396" s="127"/>
      <c r="L396" s="127"/>
    </row>
    <row r="397" spans="1:12" s="29" customFormat="1">
      <c r="A397" s="103"/>
      <c r="B397" s="71"/>
      <c r="C397" s="17"/>
      <c r="D397" s="32"/>
      <c r="E397" s="360"/>
      <c r="F397" s="263"/>
      <c r="G397" s="436"/>
      <c r="H397" s="267"/>
      <c r="I397" s="86"/>
      <c r="J397" s="26"/>
      <c r="K397" s="127"/>
      <c r="L397" s="127"/>
    </row>
    <row r="398" spans="1:12" s="29" customFormat="1" ht="15" customHeight="1">
      <c r="A398" s="103"/>
      <c r="B398" s="70"/>
      <c r="C398" s="3">
        <v>2</v>
      </c>
      <c r="D398" s="91" t="s">
        <v>364</v>
      </c>
      <c r="E398" s="359">
        <f>' Tablas SAT, AAA &amp; Sutep'!U9</f>
        <v>1204923.8432</v>
      </c>
      <c r="F398" s="263"/>
      <c r="G398" s="436"/>
      <c r="H398" s="267"/>
      <c r="I398" s="87"/>
      <c r="J398" s="45"/>
      <c r="K398" s="127"/>
      <c r="L398" s="127"/>
    </row>
    <row r="399" spans="1:12" s="29" customFormat="1">
      <c r="A399" s="103"/>
      <c r="B399" s="71"/>
      <c r="C399" s="17"/>
      <c r="D399" s="25" t="s">
        <v>83</v>
      </c>
      <c r="E399" s="367" t="s">
        <v>142</v>
      </c>
      <c r="F399" s="264">
        <f>E398</f>
        <v>1204923.8432</v>
      </c>
      <c r="G399" s="434">
        <v>2</v>
      </c>
      <c r="H399" s="265">
        <f>+G399*F399</f>
        <v>2409847.6864</v>
      </c>
      <c r="I399" s="86"/>
      <c r="J399" s="26"/>
      <c r="K399" s="127"/>
      <c r="L399" s="127"/>
    </row>
    <row r="400" spans="1:12" s="29" customFormat="1">
      <c r="A400" s="103"/>
      <c r="B400" s="71"/>
      <c r="C400" s="17"/>
      <c r="D400" s="25" t="s">
        <v>77</v>
      </c>
      <c r="E400" s="366" t="s">
        <v>142</v>
      </c>
      <c r="F400" s="264">
        <f>F399</f>
        <v>1204923.8432</v>
      </c>
      <c r="G400" s="434">
        <v>2</v>
      </c>
      <c r="H400" s="265">
        <f>+G400*F400</f>
        <v>2409847.6864</v>
      </c>
      <c r="I400" s="86"/>
      <c r="J400" s="26"/>
      <c r="K400" s="127"/>
      <c r="L400" s="127"/>
    </row>
    <row r="401" spans="1:12" s="29" customFormat="1">
      <c r="A401" s="103"/>
      <c r="B401" s="71"/>
      <c r="C401" s="17"/>
      <c r="D401" s="25" t="s">
        <v>137</v>
      </c>
      <c r="E401" s="350">
        <f>22*3</f>
        <v>66</v>
      </c>
      <c r="F401" s="264">
        <f>(F400/150)*2</f>
        <v>16065.651242666667</v>
      </c>
      <c r="G401" s="434">
        <f>+F405</f>
        <v>4</v>
      </c>
      <c r="H401" s="265">
        <f>+G401*F401*E401</f>
        <v>4241331.9280639999</v>
      </c>
      <c r="I401" s="86"/>
      <c r="J401" s="26"/>
      <c r="K401" s="127"/>
      <c r="L401" s="127"/>
    </row>
    <row r="402" spans="1:12" s="29" customFormat="1">
      <c r="A402" s="103"/>
      <c r="B402" s="71"/>
      <c r="C402" s="17"/>
      <c r="D402" s="25" t="s">
        <v>14</v>
      </c>
      <c r="E402" s="365" t="s">
        <v>110</v>
      </c>
      <c r="F402" s="264">
        <v>0</v>
      </c>
      <c r="G402" s="434"/>
      <c r="H402" s="265">
        <f>+G402*F402</f>
        <v>0</v>
      </c>
      <c r="I402" s="86"/>
      <c r="J402" s="26"/>
      <c r="K402" s="127"/>
      <c r="L402" s="127"/>
    </row>
    <row r="403" spans="1:12" s="29" customFormat="1">
      <c r="A403" s="103"/>
      <c r="B403" s="71"/>
      <c r="C403" s="17"/>
      <c r="D403" s="25" t="s">
        <v>15</v>
      </c>
      <c r="E403" s="365" t="s">
        <v>110</v>
      </c>
      <c r="F403" s="264">
        <v>0</v>
      </c>
      <c r="G403" s="434"/>
      <c r="H403" s="265">
        <f>+G403*F403</f>
        <v>0</v>
      </c>
      <c r="I403" s="86"/>
      <c r="J403" s="26"/>
      <c r="K403" s="127"/>
      <c r="L403" s="127"/>
    </row>
    <row r="404" spans="1:12" s="29" customFormat="1">
      <c r="A404" s="103"/>
      <c r="B404" s="71"/>
      <c r="C404" s="17"/>
      <c r="D404" s="25" t="s">
        <v>13</v>
      </c>
      <c r="E404" s="366" t="s">
        <v>143</v>
      </c>
      <c r="F404" s="264">
        <v>37371.11</v>
      </c>
      <c r="G404" s="434">
        <v>0</v>
      </c>
      <c r="H404" s="265">
        <f>+G404*F404</f>
        <v>0</v>
      </c>
      <c r="I404" s="86"/>
      <c r="J404" s="26"/>
      <c r="K404" s="127"/>
      <c r="L404" s="127"/>
    </row>
    <row r="405" spans="1:12" s="29" customFormat="1">
      <c r="A405" s="103"/>
      <c r="B405" s="71"/>
      <c r="C405" s="17"/>
      <c r="D405" s="25" t="s">
        <v>136</v>
      </c>
      <c r="E405" s="365" t="s">
        <v>108</v>
      </c>
      <c r="F405" s="263">
        <v>4</v>
      </c>
      <c r="G405" s="434" t="s">
        <v>127</v>
      </c>
      <c r="H405" s="265">
        <f>SUM(H399:H404)</f>
        <v>9061027.3008639999</v>
      </c>
      <c r="I405" s="83"/>
      <c r="J405" s="26"/>
      <c r="K405" s="127"/>
      <c r="L405" s="127"/>
    </row>
    <row r="406" spans="1:12" s="29" customFormat="1">
      <c r="A406" s="103"/>
      <c r="B406" s="71"/>
      <c r="C406" s="17"/>
      <c r="D406" s="34" t="s">
        <v>126</v>
      </c>
      <c r="E406" s="352" t="s">
        <v>108</v>
      </c>
      <c r="F406" s="264"/>
      <c r="G406" s="434"/>
      <c r="H406" s="265">
        <f>H405*8.33%</f>
        <v>754783.57416197122</v>
      </c>
      <c r="I406" s="84"/>
      <c r="J406" s="81"/>
      <c r="K406" s="127"/>
      <c r="L406" s="127"/>
    </row>
    <row r="407" spans="1:12" s="29" customFormat="1">
      <c r="A407" s="103"/>
      <c r="B407" s="71"/>
      <c r="C407" s="17"/>
      <c r="D407" s="34" t="s">
        <v>233</v>
      </c>
      <c r="E407" s="357"/>
      <c r="F407" s="264"/>
      <c r="G407" s="434"/>
      <c r="H407" s="265">
        <f>H405*7%</f>
        <v>634271.91106048005</v>
      </c>
      <c r="I407" s="85">
        <v>0</v>
      </c>
      <c r="J407" s="31">
        <f>+(H405+H406+H407)*C398</f>
        <v>20900165.572172903</v>
      </c>
      <c r="K407" s="127"/>
      <c r="L407" s="127"/>
    </row>
    <row r="408" spans="1:12" s="29" customFormat="1">
      <c r="A408" s="103"/>
      <c r="B408" s="71"/>
      <c r="C408" s="17"/>
      <c r="D408" s="32"/>
      <c r="E408" s="360"/>
      <c r="F408" s="263"/>
      <c r="G408" s="436"/>
      <c r="H408" s="267"/>
      <c r="I408" s="86"/>
      <c r="J408" s="26"/>
      <c r="K408" s="127"/>
      <c r="L408" s="127"/>
    </row>
    <row r="409" spans="1:12" s="29" customFormat="1" ht="15" customHeight="1">
      <c r="A409" s="103"/>
      <c r="B409" s="70"/>
      <c r="C409" s="3">
        <v>1</v>
      </c>
      <c r="D409" s="91" t="s">
        <v>365</v>
      </c>
      <c r="E409" s="359">
        <f>' Tablas SAT, AAA &amp; Sutep'!U9</f>
        <v>1204923.8432</v>
      </c>
      <c r="F409" s="263"/>
      <c r="G409" s="436"/>
      <c r="H409" s="267"/>
      <c r="I409" s="87"/>
      <c r="J409" s="45"/>
      <c r="K409" s="127"/>
      <c r="L409" s="127"/>
    </row>
    <row r="410" spans="1:12" s="29" customFormat="1">
      <c r="A410" s="103"/>
      <c r="B410" s="71"/>
      <c r="C410" s="17"/>
      <c r="D410" s="25" t="s">
        <v>83</v>
      </c>
      <c r="E410" s="367" t="s">
        <v>142</v>
      </c>
      <c r="F410" s="264">
        <f>E409</f>
        <v>1204923.8432</v>
      </c>
      <c r="G410" s="434">
        <v>1</v>
      </c>
      <c r="H410" s="265">
        <f>+G410*F410</f>
        <v>1204923.8432</v>
      </c>
      <c r="I410" s="86"/>
      <c r="J410" s="26"/>
      <c r="K410" s="127"/>
      <c r="L410" s="127"/>
    </row>
    <row r="411" spans="1:12" s="29" customFormat="1">
      <c r="A411" s="103"/>
      <c r="B411" s="71"/>
      <c r="C411" s="17"/>
      <c r="D411" s="25" t="s">
        <v>77</v>
      </c>
      <c r="E411" s="366" t="s">
        <v>142</v>
      </c>
      <c r="F411" s="264">
        <f>F410</f>
        <v>1204923.8432</v>
      </c>
      <c r="G411" s="434">
        <v>2</v>
      </c>
      <c r="H411" s="265">
        <f>+G411*F411</f>
        <v>2409847.6864</v>
      </c>
      <c r="I411" s="86"/>
      <c r="J411" s="26"/>
      <c r="K411" s="127"/>
      <c r="L411" s="127"/>
    </row>
    <row r="412" spans="1:12" s="29" customFormat="1">
      <c r="A412" s="103"/>
      <c r="B412" s="71"/>
      <c r="C412" s="17"/>
      <c r="D412" s="25" t="s">
        <v>137</v>
      </c>
      <c r="E412" s="350">
        <f>22*3</f>
        <v>66</v>
      </c>
      <c r="F412" s="264">
        <f>(F411/150)*2</f>
        <v>16065.651242666667</v>
      </c>
      <c r="G412" s="434">
        <f>+F416</f>
        <v>3</v>
      </c>
      <c r="H412" s="265">
        <f>+G412*F412*E412</f>
        <v>3180998.9460479999</v>
      </c>
      <c r="I412" s="86"/>
      <c r="J412" s="26"/>
      <c r="K412" s="127"/>
      <c r="L412" s="127"/>
    </row>
    <row r="413" spans="1:12" s="29" customFormat="1">
      <c r="A413" s="103"/>
      <c r="B413" s="71"/>
      <c r="C413" s="17"/>
      <c r="D413" s="25" t="s">
        <v>14</v>
      </c>
      <c r="E413" s="365" t="s">
        <v>110</v>
      </c>
      <c r="F413" s="264">
        <v>0</v>
      </c>
      <c r="G413" s="434"/>
      <c r="H413" s="265">
        <f>+G413*F413</f>
        <v>0</v>
      </c>
      <c r="I413" s="86"/>
      <c r="J413" s="26"/>
      <c r="K413" s="127"/>
      <c r="L413" s="127"/>
    </row>
    <row r="414" spans="1:12" s="29" customFormat="1">
      <c r="A414" s="103"/>
      <c r="B414" s="71"/>
      <c r="C414" s="17"/>
      <c r="D414" s="25" t="s">
        <v>15</v>
      </c>
      <c r="E414" s="365" t="s">
        <v>110</v>
      </c>
      <c r="F414" s="264">
        <v>0</v>
      </c>
      <c r="G414" s="434"/>
      <c r="H414" s="265">
        <f>+G414*F414</f>
        <v>0</v>
      </c>
      <c r="I414" s="86"/>
      <c r="J414" s="26"/>
      <c r="K414" s="127"/>
      <c r="L414" s="127"/>
    </row>
    <row r="415" spans="1:12" s="29" customFormat="1">
      <c r="A415" s="103"/>
      <c r="B415" s="71"/>
      <c r="C415" s="17"/>
      <c r="D415" s="25" t="s">
        <v>13</v>
      </c>
      <c r="E415" s="366" t="s">
        <v>143</v>
      </c>
      <c r="F415" s="264">
        <f>E409</f>
        <v>1204923.8432</v>
      </c>
      <c r="G415" s="434">
        <v>0</v>
      </c>
      <c r="H415" s="265">
        <f>+G415*F415</f>
        <v>0</v>
      </c>
      <c r="I415" s="86"/>
      <c r="J415" s="26"/>
      <c r="K415" s="127"/>
      <c r="L415" s="127"/>
    </row>
    <row r="416" spans="1:12" s="29" customFormat="1">
      <c r="A416" s="103"/>
      <c r="B416" s="71"/>
      <c r="C416" s="17"/>
      <c r="D416" s="25" t="s">
        <v>136</v>
      </c>
      <c r="E416" s="365" t="s">
        <v>108</v>
      </c>
      <c r="F416" s="263">
        <f>+G410+G411+G415</f>
        <v>3</v>
      </c>
      <c r="G416" s="434" t="s">
        <v>127</v>
      </c>
      <c r="H416" s="265">
        <f>SUM(H410:H415)</f>
        <v>6795770.4756479999</v>
      </c>
      <c r="I416" s="83"/>
      <c r="J416" s="26"/>
      <c r="K416" s="127"/>
      <c r="L416" s="127"/>
    </row>
    <row r="417" spans="1:12" s="29" customFormat="1">
      <c r="A417" s="103"/>
      <c r="B417" s="71"/>
      <c r="C417" s="17"/>
      <c r="D417" s="34" t="s">
        <v>126</v>
      </c>
      <c r="E417" s="352" t="s">
        <v>108</v>
      </c>
      <c r="F417" s="264"/>
      <c r="G417" s="434"/>
      <c r="H417" s="265">
        <f>H416*8.33%</f>
        <v>566087.68062147836</v>
      </c>
      <c r="I417" s="84"/>
      <c r="J417" s="81"/>
      <c r="K417" s="127"/>
      <c r="L417" s="127"/>
    </row>
    <row r="418" spans="1:12" s="29" customFormat="1">
      <c r="A418" s="103"/>
      <c r="B418" s="71"/>
      <c r="C418" s="17"/>
      <c r="D418" s="34" t="s">
        <v>233</v>
      </c>
      <c r="E418" s="357"/>
      <c r="F418" s="264"/>
      <c r="G418" s="434"/>
      <c r="H418" s="265">
        <f>H416*7%</f>
        <v>475703.93329536001</v>
      </c>
      <c r="I418" s="85">
        <v>0</v>
      </c>
      <c r="J418" s="31">
        <f>+(H416+H417+H418)*C409</f>
        <v>7837562.0895648384</v>
      </c>
      <c r="K418" s="127"/>
      <c r="L418" s="127"/>
    </row>
    <row r="419" spans="1:12" s="29" customFormat="1">
      <c r="A419" s="103"/>
      <c r="B419" s="71"/>
      <c r="C419" s="17"/>
      <c r="D419" s="32"/>
      <c r="E419" s="360"/>
      <c r="F419" s="263"/>
      <c r="G419" s="436"/>
      <c r="H419" s="267"/>
      <c r="I419" s="86"/>
      <c r="J419" s="26"/>
      <c r="K419" s="127"/>
      <c r="L419" s="127"/>
    </row>
    <row r="420" spans="1:12" s="29" customFormat="1" ht="15" customHeight="1">
      <c r="A420" s="103"/>
      <c r="B420" s="70"/>
      <c r="C420" s="3">
        <v>1</v>
      </c>
      <c r="D420" s="91" t="s">
        <v>375</v>
      </c>
      <c r="E420" s="359">
        <f>' Tablas SAT, AAA &amp; Sutep'!U4</f>
        <v>2481080.3435</v>
      </c>
      <c r="F420" s="263"/>
      <c r="G420" s="436"/>
      <c r="H420" s="267"/>
      <c r="I420" s="87"/>
      <c r="J420" s="45"/>
      <c r="K420" s="127"/>
      <c r="L420" s="127"/>
    </row>
    <row r="421" spans="1:12" s="29" customFormat="1">
      <c r="A421" s="103"/>
      <c r="B421" s="71"/>
      <c r="C421" s="17"/>
      <c r="D421" s="25" t="s">
        <v>83</v>
      </c>
      <c r="E421" s="367" t="s">
        <v>142</v>
      </c>
      <c r="F421" s="254">
        <f>E420</f>
        <v>2481080.3435</v>
      </c>
      <c r="G421" s="315">
        <v>1</v>
      </c>
      <c r="H421" s="252">
        <f>+G421*F421</f>
        <v>2481080.3435</v>
      </c>
      <c r="I421" s="86"/>
      <c r="J421" s="26"/>
      <c r="K421" s="127"/>
      <c r="L421" s="127"/>
    </row>
    <row r="422" spans="1:12" s="29" customFormat="1">
      <c r="A422" s="103"/>
      <c r="B422" s="71"/>
      <c r="C422" s="17"/>
      <c r="D422" s="25" t="s">
        <v>77</v>
      </c>
      <c r="E422" s="366" t="s">
        <v>142</v>
      </c>
      <c r="F422" s="254">
        <f>F421</f>
        <v>2481080.3435</v>
      </c>
      <c r="G422" s="315">
        <v>2</v>
      </c>
      <c r="H422" s="252">
        <f>+G422*F422</f>
        <v>4962160.6869999999</v>
      </c>
      <c r="I422" s="86"/>
      <c r="J422" s="26"/>
      <c r="K422" s="127"/>
      <c r="L422" s="127"/>
    </row>
    <row r="423" spans="1:12" s="29" customFormat="1">
      <c r="A423" s="103"/>
      <c r="B423" s="71"/>
      <c r="C423" s="17"/>
      <c r="D423" s="25" t="s">
        <v>137</v>
      </c>
      <c r="E423" s="350">
        <f>22*3</f>
        <v>66</v>
      </c>
      <c r="F423" s="254">
        <f>(F422/150)*2</f>
        <v>33081.071246666666</v>
      </c>
      <c r="G423" s="315">
        <f>+F427</f>
        <v>3</v>
      </c>
      <c r="H423" s="252">
        <f>+G423*F423*E423</f>
        <v>6550052.1068400005</v>
      </c>
      <c r="I423" s="86"/>
      <c r="J423" s="26"/>
      <c r="K423" s="127"/>
      <c r="L423" s="127"/>
    </row>
    <row r="424" spans="1:12" s="29" customFormat="1">
      <c r="A424" s="103"/>
      <c r="B424" s="71"/>
      <c r="C424" s="17"/>
      <c r="D424" s="25" t="s">
        <v>14</v>
      </c>
      <c r="E424" s="365" t="s">
        <v>110</v>
      </c>
      <c r="F424" s="254">
        <v>0</v>
      </c>
      <c r="G424" s="315"/>
      <c r="H424" s="252">
        <f>+G424*F424</f>
        <v>0</v>
      </c>
      <c r="I424" s="86"/>
      <c r="J424" s="26"/>
      <c r="K424" s="127"/>
      <c r="L424" s="127"/>
    </row>
    <row r="425" spans="1:12" s="29" customFormat="1">
      <c r="A425" s="103"/>
      <c r="B425" s="71"/>
      <c r="C425" s="17"/>
      <c r="D425" s="25" t="s">
        <v>15</v>
      </c>
      <c r="E425" s="365" t="s">
        <v>110</v>
      </c>
      <c r="F425" s="254">
        <v>0</v>
      </c>
      <c r="G425" s="315"/>
      <c r="H425" s="252">
        <f>+G425*F425</f>
        <v>0</v>
      </c>
      <c r="I425" s="86"/>
      <c r="J425" s="26"/>
      <c r="K425" s="127"/>
      <c r="L425" s="127"/>
    </row>
    <row r="426" spans="1:12" s="29" customFormat="1">
      <c r="A426" s="103"/>
      <c r="B426" s="71"/>
      <c r="C426" s="17"/>
      <c r="D426" s="25" t="s">
        <v>13</v>
      </c>
      <c r="E426" s="366" t="s">
        <v>143</v>
      </c>
      <c r="F426" s="264">
        <f>E420</f>
        <v>2481080.3435</v>
      </c>
      <c r="G426" s="434">
        <v>0</v>
      </c>
      <c r="H426" s="265">
        <f>+G426*F426</f>
        <v>0</v>
      </c>
      <c r="I426" s="86"/>
      <c r="J426" s="26"/>
      <c r="K426" s="127"/>
      <c r="L426" s="127"/>
    </row>
    <row r="427" spans="1:12" s="29" customFormat="1">
      <c r="A427" s="103"/>
      <c r="B427" s="71"/>
      <c r="C427" s="17"/>
      <c r="D427" s="25" t="s">
        <v>136</v>
      </c>
      <c r="E427" s="365" t="s">
        <v>108</v>
      </c>
      <c r="F427" s="263">
        <f>+G421+G422+G426</f>
        <v>3</v>
      </c>
      <c r="G427" s="434" t="s">
        <v>127</v>
      </c>
      <c r="H427" s="265">
        <f>SUM(H421:H426)</f>
        <v>13993293.137340002</v>
      </c>
      <c r="I427" s="83"/>
      <c r="J427" s="26"/>
      <c r="K427" s="127"/>
      <c r="L427" s="127"/>
    </row>
    <row r="428" spans="1:12" s="29" customFormat="1">
      <c r="A428" s="103"/>
      <c r="B428" s="71"/>
      <c r="C428" s="17"/>
      <c r="D428" s="34" t="s">
        <v>126</v>
      </c>
      <c r="E428" s="352" t="s">
        <v>108</v>
      </c>
      <c r="F428" s="264"/>
      <c r="G428" s="434"/>
      <c r="H428" s="265">
        <f>H427*8.33%</f>
        <v>1165641.3183404221</v>
      </c>
      <c r="I428" s="84"/>
      <c r="J428" s="81"/>
      <c r="K428" s="127"/>
      <c r="L428" s="127"/>
    </row>
    <row r="429" spans="1:12" s="29" customFormat="1">
      <c r="A429" s="103"/>
      <c r="B429" s="71"/>
      <c r="C429" s="17"/>
      <c r="D429" s="34" t="s">
        <v>233</v>
      </c>
      <c r="E429" s="357"/>
      <c r="F429" s="264"/>
      <c r="G429" s="434"/>
      <c r="H429" s="265">
        <f>H427*7%</f>
        <v>979530.51961380022</v>
      </c>
      <c r="I429" s="85">
        <v>0</v>
      </c>
      <c r="J429" s="31">
        <f>+(H427+H428+H429)*C420</f>
        <v>16138464.975294225</v>
      </c>
      <c r="K429" s="127"/>
      <c r="L429" s="127"/>
    </row>
    <row r="430" spans="1:12" s="29" customFormat="1">
      <c r="A430" s="103"/>
      <c r="B430" s="71"/>
      <c r="C430" s="17"/>
      <c r="D430" s="32"/>
      <c r="E430" s="343"/>
      <c r="F430" s="263"/>
      <c r="G430" s="436"/>
      <c r="H430" s="267"/>
      <c r="I430" s="86"/>
      <c r="J430" s="26"/>
      <c r="K430" s="127"/>
      <c r="L430" s="127"/>
    </row>
    <row r="431" spans="1:12" s="29" customFormat="1" ht="15" customHeight="1">
      <c r="A431" s="103"/>
      <c r="B431" s="70"/>
      <c r="C431" s="3">
        <v>1</v>
      </c>
      <c r="D431" s="91" t="s">
        <v>302</v>
      </c>
      <c r="E431" s="359">
        <f>' Tablas SAT, AAA &amp; Sutep'!U6</f>
        <v>1533732.5920000002</v>
      </c>
      <c r="F431" s="263"/>
      <c r="G431" s="436"/>
      <c r="H431" s="267"/>
      <c r="I431" s="87"/>
      <c r="J431" s="45"/>
      <c r="K431" s="127"/>
      <c r="L431" s="127"/>
    </row>
    <row r="432" spans="1:12" s="29" customFormat="1">
      <c r="A432" s="103"/>
      <c r="B432" s="71"/>
      <c r="C432" s="17"/>
      <c r="D432" s="25" t="s">
        <v>83</v>
      </c>
      <c r="E432" s="367" t="s">
        <v>142</v>
      </c>
      <c r="F432" s="254">
        <f>E431</f>
        <v>1533732.5920000002</v>
      </c>
      <c r="G432" s="434">
        <v>0.5</v>
      </c>
      <c r="H432" s="265">
        <f>+G432*F432</f>
        <v>766866.29600000009</v>
      </c>
      <c r="I432" s="86"/>
      <c r="J432" s="26"/>
      <c r="K432" s="127"/>
      <c r="L432" s="127"/>
    </row>
    <row r="433" spans="1:12" s="29" customFormat="1">
      <c r="A433" s="103"/>
      <c r="B433" s="71"/>
      <c r="C433" s="17"/>
      <c r="D433" s="25" t="s">
        <v>77</v>
      </c>
      <c r="E433" s="366" t="s">
        <v>142</v>
      </c>
      <c r="F433" s="254">
        <f>F432</f>
        <v>1533732.5920000002</v>
      </c>
      <c r="G433" s="434">
        <v>2</v>
      </c>
      <c r="H433" s="265">
        <f>+G433*F433</f>
        <v>3067465.1840000004</v>
      </c>
      <c r="I433" s="86"/>
      <c r="J433" s="26"/>
      <c r="K433" s="127"/>
      <c r="L433" s="127"/>
    </row>
    <row r="434" spans="1:12" s="29" customFormat="1">
      <c r="A434" s="103"/>
      <c r="B434" s="71"/>
      <c r="C434" s="17"/>
      <c r="D434" s="25" t="s">
        <v>137</v>
      </c>
      <c r="E434" s="350">
        <f>22*3</f>
        <v>66</v>
      </c>
      <c r="F434" s="254">
        <f>(F433/150)*2</f>
        <v>20449.767893333337</v>
      </c>
      <c r="G434" s="434">
        <f>+F438</f>
        <v>2.5</v>
      </c>
      <c r="H434" s="265">
        <f>+G434*F434*E434</f>
        <v>3374211.7024000008</v>
      </c>
      <c r="I434" s="86"/>
      <c r="J434" s="26"/>
      <c r="K434" s="127"/>
      <c r="L434" s="127"/>
    </row>
    <row r="435" spans="1:12" s="29" customFormat="1">
      <c r="A435" s="103"/>
      <c r="B435" s="71"/>
      <c r="C435" s="17"/>
      <c r="D435" s="25" t="s">
        <v>14</v>
      </c>
      <c r="E435" s="365" t="s">
        <v>110</v>
      </c>
      <c r="F435" s="264">
        <v>0</v>
      </c>
      <c r="G435" s="434"/>
      <c r="H435" s="265">
        <f>+G435*F435</f>
        <v>0</v>
      </c>
      <c r="I435" s="86"/>
      <c r="J435" s="26"/>
      <c r="K435" s="127"/>
      <c r="L435" s="127"/>
    </row>
    <row r="436" spans="1:12" s="29" customFormat="1">
      <c r="A436" s="103"/>
      <c r="B436" s="71"/>
      <c r="C436" s="17"/>
      <c r="D436" s="25" t="s">
        <v>15</v>
      </c>
      <c r="E436" s="365" t="s">
        <v>110</v>
      </c>
      <c r="F436" s="264">
        <v>0</v>
      </c>
      <c r="G436" s="434"/>
      <c r="H436" s="265">
        <f>+G436*F436</f>
        <v>0</v>
      </c>
      <c r="I436" s="86"/>
      <c r="J436" s="26"/>
      <c r="K436" s="127"/>
      <c r="L436" s="127"/>
    </row>
    <row r="437" spans="1:12" s="29" customFormat="1">
      <c r="A437" s="103"/>
      <c r="B437" s="71"/>
      <c r="C437" s="17"/>
      <c r="D437" s="25" t="s">
        <v>13</v>
      </c>
      <c r="E437" s="366" t="s">
        <v>143</v>
      </c>
      <c r="F437" s="264">
        <f>E431</f>
        <v>1533732.5920000002</v>
      </c>
      <c r="G437" s="434">
        <v>0</v>
      </c>
      <c r="H437" s="265">
        <f>+G437*F437</f>
        <v>0</v>
      </c>
      <c r="I437" s="86"/>
      <c r="J437" s="26"/>
      <c r="K437" s="127"/>
      <c r="L437" s="127"/>
    </row>
    <row r="438" spans="1:12" s="29" customFormat="1">
      <c r="A438" s="103"/>
      <c r="B438" s="71"/>
      <c r="C438" s="17"/>
      <c r="D438" s="25" t="s">
        <v>136</v>
      </c>
      <c r="E438" s="365" t="s">
        <v>108</v>
      </c>
      <c r="F438" s="263">
        <f>+G432+G433+G437</f>
        <v>2.5</v>
      </c>
      <c r="G438" s="434" t="s">
        <v>127</v>
      </c>
      <c r="H438" s="265">
        <f>SUM(H432:H437)</f>
        <v>7208543.1824000012</v>
      </c>
      <c r="I438" s="83"/>
      <c r="J438" s="26"/>
      <c r="K438" s="127"/>
      <c r="L438" s="127"/>
    </row>
    <row r="439" spans="1:12" s="29" customFormat="1">
      <c r="A439" s="103"/>
      <c r="B439" s="71"/>
      <c r="C439" s="17"/>
      <c r="D439" s="34" t="s">
        <v>126</v>
      </c>
      <c r="E439" s="352" t="s">
        <v>108</v>
      </c>
      <c r="F439" s="264"/>
      <c r="G439" s="434"/>
      <c r="H439" s="265">
        <f>H438*8.33%</f>
        <v>600471.64709392004</v>
      </c>
      <c r="I439" s="84"/>
      <c r="J439" s="81"/>
      <c r="K439" s="127"/>
      <c r="L439" s="127"/>
    </row>
    <row r="440" spans="1:12" s="29" customFormat="1">
      <c r="A440" s="103"/>
      <c r="B440" s="71"/>
      <c r="C440" s="17"/>
      <c r="D440" s="34" t="s">
        <v>233</v>
      </c>
      <c r="E440" s="357"/>
      <c r="F440" s="264"/>
      <c r="G440" s="434"/>
      <c r="H440" s="265">
        <f>H438*7%</f>
        <v>504598.02276800014</v>
      </c>
      <c r="I440" s="85">
        <v>0</v>
      </c>
      <c r="J440" s="31">
        <f>+(H438+H439+H440)*C431</f>
        <v>8313612.8522619214</v>
      </c>
      <c r="K440" s="127"/>
      <c r="L440" s="127"/>
    </row>
    <row r="441" spans="1:12" s="29" customFormat="1">
      <c r="A441" s="103"/>
      <c r="B441" s="71"/>
      <c r="C441" s="17"/>
      <c r="D441" s="32"/>
      <c r="E441" s="343"/>
      <c r="F441" s="263"/>
      <c r="G441" s="436"/>
      <c r="H441" s="267"/>
      <c r="I441" s="86"/>
      <c r="J441" s="26"/>
      <c r="K441" s="127"/>
      <c r="L441" s="127"/>
    </row>
    <row r="442" spans="1:12" s="29" customFormat="1" ht="15" customHeight="1">
      <c r="A442" s="103"/>
      <c r="B442" s="70"/>
      <c r="C442" s="3">
        <v>2</v>
      </c>
      <c r="D442" s="91" t="s">
        <v>303</v>
      </c>
      <c r="E442" s="359">
        <f>' Tablas SAT, AAA &amp; Sutep'!U9</f>
        <v>1204923.8432</v>
      </c>
      <c r="F442" s="263"/>
      <c r="G442" s="436"/>
      <c r="H442" s="267"/>
      <c r="I442" s="87"/>
      <c r="J442" s="45"/>
      <c r="K442" s="127"/>
      <c r="L442" s="127"/>
    </row>
    <row r="443" spans="1:12" s="29" customFormat="1">
      <c r="A443" s="103"/>
      <c r="B443" s="71"/>
      <c r="C443" s="17"/>
      <c r="D443" s="25" t="s">
        <v>83</v>
      </c>
      <c r="E443" s="367" t="s">
        <v>142</v>
      </c>
      <c r="F443" s="264">
        <f>E442</f>
        <v>1204923.8432</v>
      </c>
      <c r="G443" s="434"/>
      <c r="H443" s="265">
        <f t="shared" ref="H443:H448" si="11">+G443*F443</f>
        <v>0</v>
      </c>
      <c r="I443" s="86"/>
      <c r="J443" s="26"/>
      <c r="K443" s="127"/>
      <c r="L443" s="127"/>
    </row>
    <row r="444" spans="1:12" s="29" customFormat="1">
      <c r="A444" s="103"/>
      <c r="B444" s="71"/>
      <c r="C444" s="17"/>
      <c r="D444" s="25" t="s">
        <v>77</v>
      </c>
      <c r="E444" s="366" t="s">
        <v>142</v>
      </c>
      <c r="F444" s="264">
        <f>F443</f>
        <v>1204923.8432</v>
      </c>
      <c r="G444" s="434">
        <v>2</v>
      </c>
      <c r="H444" s="265">
        <f t="shared" si="11"/>
        <v>2409847.6864</v>
      </c>
      <c r="I444" s="86"/>
      <c r="J444" s="26"/>
      <c r="K444" s="127"/>
      <c r="L444" s="127"/>
    </row>
    <row r="445" spans="1:12" s="29" customFormat="1">
      <c r="A445" s="103"/>
      <c r="B445" s="71"/>
      <c r="C445" s="17"/>
      <c r="D445" s="25" t="s">
        <v>137</v>
      </c>
      <c r="E445" s="350">
        <f>22*3</f>
        <v>66</v>
      </c>
      <c r="F445" s="264">
        <f>(F444/150)*2</f>
        <v>16065.651242666667</v>
      </c>
      <c r="G445" s="434">
        <f>+F449</f>
        <v>2</v>
      </c>
      <c r="H445" s="265">
        <f>+G445*F445*E445</f>
        <v>2120665.9640319999</v>
      </c>
      <c r="I445" s="86"/>
      <c r="J445" s="26"/>
      <c r="K445" s="127"/>
      <c r="L445" s="127"/>
    </row>
    <row r="446" spans="1:12" s="29" customFormat="1">
      <c r="A446" s="103"/>
      <c r="B446" s="71"/>
      <c r="C446" s="17"/>
      <c r="D446" s="25" t="s">
        <v>14</v>
      </c>
      <c r="E446" s="365" t="s">
        <v>110</v>
      </c>
      <c r="F446" s="264">
        <v>0</v>
      </c>
      <c r="G446" s="434">
        <f>$H$3</f>
        <v>40</v>
      </c>
      <c r="H446" s="265">
        <f t="shared" si="11"/>
        <v>0</v>
      </c>
      <c r="I446" s="86"/>
      <c r="J446" s="26"/>
      <c r="K446" s="127"/>
      <c r="L446" s="127"/>
    </row>
    <row r="447" spans="1:12" s="29" customFormat="1">
      <c r="A447" s="103"/>
      <c r="B447" s="71"/>
      <c r="C447" s="17"/>
      <c r="D447" s="25" t="s">
        <v>15</v>
      </c>
      <c r="E447" s="365" t="s">
        <v>110</v>
      </c>
      <c r="F447" s="264">
        <v>0</v>
      </c>
      <c r="G447" s="434"/>
      <c r="H447" s="265">
        <f t="shared" si="11"/>
        <v>0</v>
      </c>
      <c r="I447" s="86"/>
      <c r="J447" s="26"/>
      <c r="K447" s="127"/>
      <c r="L447" s="127"/>
    </row>
    <row r="448" spans="1:12" s="29" customFormat="1">
      <c r="A448" s="103"/>
      <c r="B448" s="71"/>
      <c r="C448" s="17"/>
      <c r="D448" s="25" t="s">
        <v>13</v>
      </c>
      <c r="E448" s="366" t="s">
        <v>143</v>
      </c>
      <c r="F448" s="264">
        <f>E442</f>
        <v>1204923.8432</v>
      </c>
      <c r="G448" s="434">
        <v>0</v>
      </c>
      <c r="H448" s="265">
        <f t="shared" si="11"/>
        <v>0</v>
      </c>
      <c r="I448" s="86"/>
      <c r="J448" s="26"/>
      <c r="K448" s="127"/>
      <c r="L448" s="127"/>
    </row>
    <row r="449" spans="1:12" s="29" customFormat="1">
      <c r="A449" s="103"/>
      <c r="B449" s="71"/>
      <c r="C449" s="17"/>
      <c r="D449" s="25" t="s">
        <v>136</v>
      </c>
      <c r="E449" s="365" t="s">
        <v>108</v>
      </c>
      <c r="F449" s="263">
        <f>+G443+G444+G448</f>
        <v>2</v>
      </c>
      <c r="G449" s="434" t="s">
        <v>127</v>
      </c>
      <c r="H449" s="265">
        <f>SUM(H443:H448)</f>
        <v>4530513.6504319999</v>
      </c>
      <c r="I449" s="83"/>
      <c r="J449" s="26"/>
      <c r="K449" s="127"/>
      <c r="L449" s="127"/>
    </row>
    <row r="450" spans="1:12" s="29" customFormat="1">
      <c r="A450" s="103"/>
      <c r="B450" s="71"/>
      <c r="C450" s="17"/>
      <c r="D450" s="34" t="s">
        <v>126</v>
      </c>
      <c r="E450" s="352" t="s">
        <v>108</v>
      </c>
      <c r="F450" s="264"/>
      <c r="G450" s="434"/>
      <c r="H450" s="265">
        <f>H449*8.33%</f>
        <v>377391.78708098561</v>
      </c>
      <c r="I450" s="84"/>
      <c r="J450" s="81"/>
      <c r="K450" s="127"/>
      <c r="L450" s="127"/>
    </row>
    <row r="451" spans="1:12" s="29" customFormat="1">
      <c r="A451" s="103"/>
      <c r="B451" s="71"/>
      <c r="C451" s="17"/>
      <c r="D451" s="34" t="s">
        <v>233</v>
      </c>
      <c r="E451" s="357"/>
      <c r="F451" s="264"/>
      <c r="G451" s="434"/>
      <c r="H451" s="265">
        <f>H449*7%</f>
        <v>317135.95553024003</v>
      </c>
      <c r="I451" s="85">
        <v>0</v>
      </c>
      <c r="J451" s="31">
        <f>+(H449+H450+H451)*C442</f>
        <v>10450082.786086451</v>
      </c>
      <c r="K451" s="127"/>
      <c r="L451" s="127"/>
    </row>
    <row r="452" spans="1:12" s="29" customFormat="1">
      <c r="A452" s="103"/>
      <c r="B452" s="71"/>
      <c r="C452" s="17"/>
      <c r="D452" s="32"/>
      <c r="E452" s="343"/>
      <c r="F452" s="263"/>
      <c r="G452" s="436"/>
      <c r="H452" s="267"/>
      <c r="I452" s="86"/>
      <c r="J452" s="26"/>
      <c r="K452" s="127"/>
      <c r="L452" s="127"/>
    </row>
    <row r="453" spans="1:12" s="29" customFormat="1" ht="15" customHeight="1">
      <c r="A453" s="103"/>
      <c r="B453" s="70"/>
      <c r="C453" s="3">
        <v>1</v>
      </c>
      <c r="D453" s="91" t="s">
        <v>366</v>
      </c>
      <c r="E453" s="359">
        <f>' Tablas SAT, AAA &amp; Sutep'!U5</f>
        <v>1760747.4079999998</v>
      </c>
      <c r="F453" s="263"/>
      <c r="G453" s="436"/>
      <c r="H453" s="267"/>
      <c r="I453" s="87"/>
      <c r="J453" s="45"/>
      <c r="K453" s="127"/>
      <c r="L453" s="127"/>
    </row>
    <row r="454" spans="1:12" s="29" customFormat="1">
      <c r="A454" s="103"/>
      <c r="B454" s="71"/>
      <c r="C454" s="17"/>
      <c r="D454" s="25" t="s">
        <v>83</v>
      </c>
      <c r="E454" s="367" t="s">
        <v>142</v>
      </c>
      <c r="F454" s="264">
        <f>E453</f>
        <v>1760747.4079999998</v>
      </c>
      <c r="G454" s="434">
        <v>0.25</v>
      </c>
      <c r="H454" s="265">
        <f>+G454*F454</f>
        <v>440186.85199999996</v>
      </c>
      <c r="I454" s="86"/>
      <c r="J454" s="26"/>
      <c r="K454" s="127"/>
      <c r="L454" s="127"/>
    </row>
    <row r="455" spans="1:12" s="29" customFormat="1">
      <c r="A455" s="103"/>
      <c r="B455" s="71"/>
      <c r="C455" s="17"/>
      <c r="D455" s="25" t="s">
        <v>77</v>
      </c>
      <c r="E455" s="366" t="s">
        <v>142</v>
      </c>
      <c r="F455" s="264">
        <f>F454</f>
        <v>1760747.4079999998</v>
      </c>
      <c r="G455" s="434">
        <v>2</v>
      </c>
      <c r="H455" s="265">
        <f t="shared" ref="H455:H459" si="12">+G455*F455</f>
        <v>3521494.8159999996</v>
      </c>
      <c r="I455" s="86"/>
      <c r="J455" s="26"/>
      <c r="K455" s="127"/>
      <c r="L455" s="127"/>
    </row>
    <row r="456" spans="1:12" s="29" customFormat="1">
      <c r="A456" s="103"/>
      <c r="B456" s="71"/>
      <c r="C456" s="17"/>
      <c r="D456" s="25" t="s">
        <v>137</v>
      </c>
      <c r="E456" s="350">
        <f>22*3</f>
        <v>66</v>
      </c>
      <c r="F456" s="264">
        <f>(F455/150)*2</f>
        <v>23476.632106666664</v>
      </c>
      <c r="G456" s="434">
        <f>+F460</f>
        <v>2.25</v>
      </c>
      <c r="H456" s="265">
        <f>+G456*F456*E456</f>
        <v>3486279.8678399995</v>
      </c>
      <c r="I456" s="86"/>
      <c r="J456" s="26"/>
      <c r="K456" s="127"/>
      <c r="L456" s="127"/>
    </row>
    <row r="457" spans="1:12" s="29" customFormat="1">
      <c r="A457" s="103"/>
      <c r="B457" s="71"/>
      <c r="C457" s="17"/>
      <c r="D457" s="25" t="s">
        <v>14</v>
      </c>
      <c r="E457" s="365" t="s">
        <v>110</v>
      </c>
      <c r="F457" s="264">
        <v>0</v>
      </c>
      <c r="G457" s="434"/>
      <c r="H457" s="265">
        <f t="shared" si="12"/>
        <v>0</v>
      </c>
      <c r="I457" s="86"/>
      <c r="J457" s="26"/>
      <c r="K457" s="127"/>
      <c r="L457" s="127"/>
    </row>
    <row r="458" spans="1:12" s="29" customFormat="1">
      <c r="A458" s="103"/>
      <c r="B458" s="71"/>
      <c r="C458" s="17"/>
      <c r="D458" s="25" t="s">
        <v>15</v>
      </c>
      <c r="E458" s="365" t="s">
        <v>110</v>
      </c>
      <c r="F458" s="264">
        <v>0</v>
      </c>
      <c r="G458" s="434"/>
      <c r="H458" s="265">
        <f t="shared" si="12"/>
        <v>0</v>
      </c>
      <c r="I458" s="86"/>
      <c r="J458" s="26"/>
      <c r="K458" s="127"/>
      <c r="L458" s="127"/>
    </row>
    <row r="459" spans="1:12" s="29" customFormat="1">
      <c r="A459" s="103"/>
      <c r="B459" s="71"/>
      <c r="C459" s="17"/>
      <c r="D459" s="25" t="s">
        <v>13</v>
      </c>
      <c r="E459" s="366" t="s">
        <v>143</v>
      </c>
      <c r="F459" s="264">
        <f>E453</f>
        <v>1760747.4079999998</v>
      </c>
      <c r="G459" s="434">
        <v>0</v>
      </c>
      <c r="H459" s="265">
        <f t="shared" si="12"/>
        <v>0</v>
      </c>
      <c r="I459" s="86"/>
      <c r="J459" s="26"/>
      <c r="K459" s="127"/>
      <c r="L459" s="127"/>
    </row>
    <row r="460" spans="1:12" s="29" customFormat="1">
      <c r="A460" s="103"/>
      <c r="B460" s="71"/>
      <c r="C460" s="17"/>
      <c r="D460" s="25" t="s">
        <v>136</v>
      </c>
      <c r="E460" s="365" t="s">
        <v>108</v>
      </c>
      <c r="F460" s="263">
        <f>+G454+G455+G459</f>
        <v>2.25</v>
      </c>
      <c r="G460" s="434" t="s">
        <v>127</v>
      </c>
      <c r="H460" s="265">
        <f>SUM(H454:H459)</f>
        <v>7447961.5358399991</v>
      </c>
      <c r="I460" s="83"/>
      <c r="J460" s="26"/>
      <c r="K460" s="127"/>
      <c r="L460" s="127"/>
    </row>
    <row r="461" spans="1:12" s="29" customFormat="1">
      <c r="A461" s="103"/>
      <c r="B461" s="71"/>
      <c r="C461" s="17"/>
      <c r="D461" s="34" t="s">
        <v>126</v>
      </c>
      <c r="E461" s="352" t="s">
        <v>108</v>
      </c>
      <c r="F461" s="264"/>
      <c r="G461" s="434"/>
      <c r="H461" s="265">
        <f>H460*8.33%</f>
        <v>620415.19593547191</v>
      </c>
      <c r="I461" s="84"/>
      <c r="J461" s="81"/>
      <c r="K461" s="127"/>
      <c r="L461" s="127"/>
    </row>
    <row r="462" spans="1:12" s="29" customFormat="1">
      <c r="A462" s="103"/>
      <c r="B462" s="71"/>
      <c r="C462" s="17"/>
      <c r="D462" s="34" t="s">
        <v>233</v>
      </c>
      <c r="E462" s="357"/>
      <c r="F462" s="264"/>
      <c r="G462" s="434"/>
      <c r="H462" s="265">
        <f>H460*7%</f>
        <v>521357.3075088</v>
      </c>
      <c r="I462" s="85">
        <v>0</v>
      </c>
      <c r="J462" s="31">
        <f>+(H460+H461+H462)*C453</f>
        <v>8589734.0392842703</v>
      </c>
      <c r="K462" s="127"/>
      <c r="L462" s="127"/>
    </row>
    <row r="463" spans="1:12" s="29" customFormat="1">
      <c r="A463" s="103"/>
      <c r="B463" s="71"/>
      <c r="C463" s="17"/>
      <c r="D463" s="32"/>
      <c r="E463" s="343"/>
      <c r="F463" s="263"/>
      <c r="G463" s="436"/>
      <c r="H463" s="267"/>
      <c r="I463" s="86"/>
      <c r="J463" s="26"/>
      <c r="K463" s="127"/>
      <c r="L463" s="127"/>
    </row>
    <row r="464" spans="1:12" s="29" customFormat="1" ht="15" customHeight="1">
      <c r="A464" s="103"/>
      <c r="B464" s="70"/>
      <c r="C464" s="3">
        <v>2</v>
      </c>
      <c r="D464" s="91" t="s">
        <v>367</v>
      </c>
      <c r="E464" s="359">
        <f>' Tablas SAT, AAA &amp; Sutep'!U7</f>
        <v>1416288.7087999999</v>
      </c>
      <c r="F464" s="263"/>
      <c r="G464" s="436"/>
      <c r="H464" s="267"/>
      <c r="I464" s="87"/>
      <c r="J464" s="45"/>
      <c r="K464" s="127"/>
      <c r="L464" s="127"/>
    </row>
    <row r="465" spans="1:12" s="29" customFormat="1">
      <c r="A465" s="103"/>
      <c r="B465" s="71"/>
      <c r="C465" s="17"/>
      <c r="D465" s="25" t="s">
        <v>83</v>
      </c>
      <c r="E465" s="367" t="s">
        <v>142</v>
      </c>
      <c r="F465" s="264">
        <f>E464</f>
        <v>1416288.7087999999</v>
      </c>
      <c r="G465" s="434">
        <v>0.25</v>
      </c>
      <c r="H465" s="265">
        <f>F465*G465</f>
        <v>354072.17719999998</v>
      </c>
      <c r="I465" s="86"/>
      <c r="J465" s="26"/>
      <c r="K465" s="127"/>
      <c r="L465" s="127"/>
    </row>
    <row r="466" spans="1:12" s="29" customFormat="1">
      <c r="A466" s="103"/>
      <c r="B466" s="71"/>
      <c r="C466" s="17"/>
      <c r="D466" s="25" t="s">
        <v>77</v>
      </c>
      <c r="E466" s="366" t="s">
        <v>142</v>
      </c>
      <c r="F466" s="264">
        <f>F465</f>
        <v>1416288.7087999999</v>
      </c>
      <c r="G466" s="434">
        <v>2</v>
      </c>
      <c r="H466" s="265">
        <f>+G466*F466</f>
        <v>2832577.4175999998</v>
      </c>
      <c r="I466" s="86"/>
      <c r="J466" s="26"/>
      <c r="K466" s="127"/>
      <c r="L466" s="127"/>
    </row>
    <row r="467" spans="1:12" s="29" customFormat="1">
      <c r="A467" s="103"/>
      <c r="B467" s="71"/>
      <c r="C467" s="17"/>
      <c r="D467" s="25" t="s">
        <v>137</v>
      </c>
      <c r="E467" s="350">
        <f>22*3</f>
        <v>66</v>
      </c>
      <c r="F467" s="264">
        <f>(F466/150)*2</f>
        <v>18883.849450666665</v>
      </c>
      <c r="G467" s="434">
        <f>+F471</f>
        <v>2.25</v>
      </c>
      <c r="H467" s="265">
        <f>+G467*F467*E467</f>
        <v>2804251.6434239997</v>
      </c>
      <c r="I467" s="86"/>
      <c r="J467" s="26"/>
      <c r="K467" s="127"/>
      <c r="L467" s="127"/>
    </row>
    <row r="468" spans="1:12" s="29" customFormat="1">
      <c r="A468" s="103"/>
      <c r="B468" s="71"/>
      <c r="C468" s="17"/>
      <c r="D468" s="25" t="s">
        <v>14</v>
      </c>
      <c r="E468" s="365" t="s">
        <v>110</v>
      </c>
      <c r="F468" s="264">
        <v>0</v>
      </c>
      <c r="G468" s="434">
        <f>$H$3</f>
        <v>40</v>
      </c>
      <c r="H468" s="265">
        <f>+G468*F468</f>
        <v>0</v>
      </c>
      <c r="I468" s="86"/>
      <c r="J468" s="26"/>
      <c r="K468" s="127"/>
      <c r="L468" s="127"/>
    </row>
    <row r="469" spans="1:12" s="29" customFormat="1">
      <c r="A469" s="103"/>
      <c r="B469" s="71"/>
      <c r="C469" s="17"/>
      <c r="D469" s="25" t="s">
        <v>15</v>
      </c>
      <c r="E469" s="365" t="s">
        <v>110</v>
      </c>
      <c r="F469" s="264">
        <v>0</v>
      </c>
      <c r="G469" s="434"/>
      <c r="H469" s="265">
        <f>+G469*F469</f>
        <v>0</v>
      </c>
      <c r="I469" s="86"/>
      <c r="J469" s="26"/>
      <c r="K469" s="127"/>
      <c r="L469" s="127"/>
    </row>
    <row r="470" spans="1:12" s="29" customFormat="1">
      <c r="A470" s="103"/>
      <c r="B470" s="71"/>
      <c r="C470" s="17"/>
      <c r="D470" s="25" t="s">
        <v>13</v>
      </c>
      <c r="E470" s="366" t="s">
        <v>143</v>
      </c>
      <c r="F470" s="264">
        <f>E464</f>
        <v>1416288.7087999999</v>
      </c>
      <c r="G470" s="434">
        <v>0</v>
      </c>
      <c r="H470" s="265">
        <f>+G470*F470</f>
        <v>0</v>
      </c>
      <c r="I470" s="86"/>
      <c r="J470" s="26"/>
      <c r="K470" s="127"/>
      <c r="L470" s="127"/>
    </row>
    <row r="471" spans="1:12" s="29" customFormat="1">
      <c r="A471" s="103"/>
      <c r="B471" s="71"/>
      <c r="C471" s="17"/>
      <c r="D471" s="25" t="s">
        <v>136</v>
      </c>
      <c r="E471" s="365" t="s">
        <v>108</v>
      </c>
      <c r="F471" s="263">
        <f>+G465+G466+G470</f>
        <v>2.25</v>
      </c>
      <c r="G471" s="434" t="s">
        <v>127</v>
      </c>
      <c r="H471" s="265">
        <f>SUM(H465:H470)</f>
        <v>5990901.2382239997</v>
      </c>
      <c r="I471" s="83"/>
      <c r="J471" s="26"/>
      <c r="K471" s="127"/>
      <c r="L471" s="127"/>
    </row>
    <row r="472" spans="1:12" s="29" customFormat="1">
      <c r="A472" s="103"/>
      <c r="B472" s="71"/>
      <c r="C472" s="17"/>
      <c r="D472" s="34" t="s">
        <v>126</v>
      </c>
      <c r="E472" s="352" t="s">
        <v>108</v>
      </c>
      <c r="F472" s="264"/>
      <c r="G472" s="434"/>
      <c r="H472" s="265">
        <f>H471*8.33%</f>
        <v>499042.07314405916</v>
      </c>
      <c r="I472" s="84"/>
      <c r="J472" s="81"/>
      <c r="K472" s="127"/>
      <c r="L472" s="127"/>
    </row>
    <row r="473" spans="1:12" s="29" customFormat="1">
      <c r="A473" s="103"/>
      <c r="B473" s="71"/>
      <c r="C473" s="17"/>
      <c r="D473" s="34" t="s">
        <v>233</v>
      </c>
      <c r="E473" s="357"/>
      <c r="F473" s="264"/>
      <c r="G473" s="434"/>
      <c r="H473" s="265">
        <f>H471*7%</f>
        <v>419363.08667568001</v>
      </c>
      <c r="I473" s="85">
        <v>0</v>
      </c>
      <c r="J473" s="31">
        <f>+(H471+H472+H473)*C464</f>
        <v>13818612.796087479</v>
      </c>
      <c r="K473" s="127"/>
      <c r="L473" s="127"/>
    </row>
    <row r="474" spans="1:12" s="29" customFormat="1">
      <c r="A474" s="103"/>
      <c r="B474" s="71"/>
      <c r="C474" s="17"/>
      <c r="D474" s="32"/>
      <c r="E474" s="343"/>
      <c r="F474" s="263"/>
      <c r="G474" s="436"/>
      <c r="H474" s="267"/>
      <c r="I474" s="86"/>
      <c r="J474" s="26"/>
      <c r="K474" s="127"/>
      <c r="L474" s="127"/>
    </row>
    <row r="475" spans="1:12" s="29" customFormat="1" ht="29.1" customHeight="1">
      <c r="A475" s="103"/>
      <c r="B475" s="71"/>
      <c r="C475" s="57">
        <f>SUM(C145:C470)</f>
        <v>40</v>
      </c>
      <c r="D475" s="32"/>
      <c r="E475" s="343"/>
      <c r="F475" s="261"/>
      <c r="G475" s="431"/>
      <c r="H475" s="262"/>
      <c r="I475" s="86"/>
      <c r="J475" s="26"/>
      <c r="K475" s="127"/>
      <c r="L475" s="127"/>
    </row>
    <row r="476" spans="1:12" s="29" customFormat="1">
      <c r="A476" s="103"/>
      <c r="B476" s="71"/>
      <c r="C476" s="17"/>
      <c r="D476" s="32"/>
      <c r="E476" s="343"/>
      <c r="F476" s="261"/>
      <c r="G476" s="431"/>
      <c r="H476" s="262"/>
      <c r="I476" s="86"/>
      <c r="J476" s="26"/>
      <c r="K476" s="127"/>
      <c r="L476" s="127"/>
    </row>
    <row r="477" spans="1:12" s="29" customFormat="1" ht="15" customHeight="1">
      <c r="A477" s="103"/>
      <c r="B477" s="70"/>
      <c r="C477" s="3"/>
      <c r="D477" s="146" t="s">
        <v>195</v>
      </c>
      <c r="E477" s="348"/>
      <c r="F477" s="257"/>
      <c r="G477" s="432"/>
      <c r="H477" s="260"/>
      <c r="I477" s="14"/>
      <c r="J477" s="14"/>
      <c r="K477" s="127"/>
      <c r="L477" s="127"/>
    </row>
    <row r="478" spans="1:12" s="29" customFormat="1" ht="15" customHeight="1">
      <c r="A478" s="103"/>
      <c r="B478" s="70"/>
      <c r="C478" s="3">
        <v>2</v>
      </c>
      <c r="D478" s="91" t="s">
        <v>316</v>
      </c>
      <c r="E478" s="359">
        <f>' Tablas SAT, AAA &amp; Sutep'!U4</f>
        <v>2481080.3435</v>
      </c>
      <c r="F478" s="261"/>
      <c r="G478" s="431"/>
      <c r="H478" s="262"/>
      <c r="I478" s="87"/>
      <c r="J478" s="45"/>
      <c r="K478" s="127"/>
      <c r="L478" s="127"/>
    </row>
    <row r="479" spans="1:12" s="29" customFormat="1">
      <c r="A479" s="103"/>
      <c r="B479" s="71"/>
      <c r="C479" s="17"/>
      <c r="D479" s="25" t="s">
        <v>83</v>
      </c>
      <c r="E479" s="367" t="s">
        <v>142</v>
      </c>
      <c r="F479" s="254">
        <f>E478</f>
        <v>2481080.3435</v>
      </c>
      <c r="G479" s="315">
        <v>0</v>
      </c>
      <c r="H479" s="252">
        <f>+G479*F479</f>
        <v>0</v>
      </c>
      <c r="I479" s="86"/>
      <c r="J479" s="26"/>
      <c r="K479" s="127"/>
      <c r="L479" s="127"/>
    </row>
    <row r="480" spans="1:12" s="29" customFormat="1">
      <c r="A480" s="103"/>
      <c r="B480" s="71"/>
      <c r="C480" s="17"/>
      <c r="D480" s="25" t="s">
        <v>77</v>
      </c>
      <c r="E480" s="366" t="s">
        <v>142</v>
      </c>
      <c r="F480" s="254">
        <f>F479</f>
        <v>2481080.3435</v>
      </c>
      <c r="G480" s="315">
        <v>2</v>
      </c>
      <c r="H480" s="252">
        <f>+G480*F480</f>
        <v>4962160.6869999999</v>
      </c>
      <c r="I480" s="86"/>
      <c r="J480" s="26"/>
      <c r="K480" s="127"/>
      <c r="L480" s="127"/>
    </row>
    <row r="481" spans="1:12" s="29" customFormat="1">
      <c r="A481" s="103"/>
      <c r="B481" s="71"/>
      <c r="C481" s="17"/>
      <c r="D481" s="25" t="s">
        <v>137</v>
      </c>
      <c r="E481" s="350">
        <f>22*3</f>
        <v>66</v>
      </c>
      <c r="F481" s="264">
        <f>(F480/150)*2</f>
        <v>33081.071246666666</v>
      </c>
      <c r="G481" s="434">
        <f>+F485</f>
        <v>4</v>
      </c>
      <c r="H481" s="265">
        <f>+G481*F481*E481</f>
        <v>8733402.8091199994</v>
      </c>
      <c r="I481" s="86"/>
      <c r="J481" s="26"/>
      <c r="K481" s="127"/>
      <c r="L481" s="127"/>
    </row>
    <row r="482" spans="1:12" s="29" customFormat="1">
      <c r="A482" s="103"/>
      <c r="B482" s="71"/>
      <c r="C482" s="17"/>
      <c r="D482" s="25" t="s">
        <v>14</v>
      </c>
      <c r="E482" s="365" t="s">
        <v>110</v>
      </c>
      <c r="F482" s="264">
        <v>0</v>
      </c>
      <c r="G482" s="434"/>
      <c r="H482" s="265">
        <f>+G482*F482</f>
        <v>0</v>
      </c>
      <c r="I482" s="86"/>
      <c r="J482" s="26"/>
      <c r="K482" s="127"/>
      <c r="L482" s="127"/>
    </row>
    <row r="483" spans="1:12" s="29" customFormat="1">
      <c r="A483" s="103"/>
      <c r="B483" s="71"/>
      <c r="C483" s="17"/>
      <c r="D483" s="25" t="s">
        <v>15</v>
      </c>
      <c r="E483" s="365" t="s">
        <v>110</v>
      </c>
      <c r="F483" s="264">
        <v>0</v>
      </c>
      <c r="G483" s="434"/>
      <c r="H483" s="265">
        <f>+G483*F483</f>
        <v>0</v>
      </c>
      <c r="I483" s="86"/>
      <c r="J483" s="26"/>
      <c r="K483" s="127"/>
      <c r="L483" s="127"/>
    </row>
    <row r="484" spans="1:12" s="29" customFormat="1">
      <c r="A484" s="103"/>
      <c r="B484" s="71"/>
      <c r="C484" s="17"/>
      <c r="D484" s="25" t="s">
        <v>13</v>
      </c>
      <c r="E484" s="366" t="s">
        <v>143</v>
      </c>
      <c r="F484" s="264">
        <v>43881.81</v>
      </c>
      <c r="G484" s="434">
        <v>2</v>
      </c>
      <c r="H484" s="265">
        <f>+G484*F484</f>
        <v>87763.62</v>
      </c>
      <c r="I484" s="86"/>
      <c r="J484" s="26"/>
      <c r="K484" s="127"/>
      <c r="L484" s="127"/>
    </row>
    <row r="485" spans="1:12" s="29" customFormat="1">
      <c r="A485" s="103"/>
      <c r="B485" s="71"/>
      <c r="C485" s="17"/>
      <c r="D485" s="25" t="s">
        <v>136</v>
      </c>
      <c r="E485" s="365" t="s">
        <v>108</v>
      </c>
      <c r="F485" s="263">
        <f>+G479+G480+G484</f>
        <v>4</v>
      </c>
      <c r="G485" s="434" t="s">
        <v>127</v>
      </c>
      <c r="H485" s="265">
        <f>SUM(H479:H484)</f>
        <v>13783327.116119998</v>
      </c>
      <c r="I485" s="83"/>
      <c r="J485" s="26"/>
      <c r="K485" s="127"/>
      <c r="L485" s="127"/>
    </row>
    <row r="486" spans="1:12" s="29" customFormat="1">
      <c r="A486" s="103"/>
      <c r="B486" s="71"/>
      <c r="C486" s="17"/>
      <c r="D486" s="34" t="s">
        <v>126</v>
      </c>
      <c r="E486" s="352" t="s">
        <v>108</v>
      </c>
      <c r="F486" s="264"/>
      <c r="G486" s="434"/>
      <c r="H486" s="265">
        <f>H485*8.33%</f>
        <v>1148151.1487727957</v>
      </c>
      <c r="I486" s="84"/>
      <c r="J486" s="81"/>
      <c r="K486" s="127"/>
      <c r="L486" s="127"/>
    </row>
    <row r="487" spans="1:12" s="29" customFormat="1">
      <c r="A487" s="103"/>
      <c r="B487" s="71"/>
      <c r="C487" s="17"/>
      <c r="D487" s="34" t="s">
        <v>233</v>
      </c>
      <c r="E487" s="357"/>
      <c r="F487" s="264"/>
      <c r="G487" s="434"/>
      <c r="H487" s="265">
        <f>H485*7%</f>
        <v>964832.89812839997</v>
      </c>
      <c r="I487" s="85">
        <v>0</v>
      </c>
      <c r="J487" s="31">
        <f>+(H485+H486+H487)*C478</f>
        <v>31792622.326042388</v>
      </c>
      <c r="K487" s="127"/>
      <c r="L487" s="127"/>
    </row>
    <row r="488" spans="1:12" s="29" customFormat="1">
      <c r="A488" s="103"/>
      <c r="B488" s="71"/>
      <c r="C488" s="17"/>
      <c r="D488" s="32"/>
      <c r="E488" s="343"/>
      <c r="F488" s="263"/>
      <c r="G488" s="436"/>
      <c r="H488" s="267"/>
      <c r="I488" s="86"/>
      <c r="J488" s="26"/>
      <c r="K488" s="127"/>
      <c r="L488" s="127"/>
    </row>
    <row r="489" spans="1:12" s="29" customFormat="1" ht="15" customHeight="1">
      <c r="A489" s="103"/>
      <c r="B489" s="70"/>
      <c r="C489" s="3">
        <v>2</v>
      </c>
      <c r="D489" s="91" t="s">
        <v>305</v>
      </c>
      <c r="E489" s="359">
        <f>' Tablas SAT, AAA &amp; Sutep'!U9</f>
        <v>1204923.8432</v>
      </c>
      <c r="F489" s="263"/>
      <c r="G489" s="436"/>
      <c r="H489" s="267"/>
      <c r="I489" s="87"/>
      <c r="J489" s="45"/>
      <c r="K489" s="127"/>
      <c r="L489" s="127"/>
    </row>
    <row r="490" spans="1:12" s="29" customFormat="1">
      <c r="A490" s="103"/>
      <c r="B490" s="71"/>
      <c r="C490" s="17"/>
      <c r="D490" s="25" t="s">
        <v>83</v>
      </c>
      <c r="E490" s="367" t="s">
        <v>142</v>
      </c>
      <c r="F490" s="264">
        <f>E489</f>
        <v>1204923.8432</v>
      </c>
      <c r="G490" s="434">
        <v>0</v>
      </c>
      <c r="H490" s="265">
        <f>+G490*F490</f>
        <v>0</v>
      </c>
      <c r="I490" s="86"/>
      <c r="J490" s="26"/>
      <c r="K490" s="127"/>
      <c r="L490" s="127"/>
    </row>
    <row r="491" spans="1:12" s="29" customFormat="1">
      <c r="A491" s="103"/>
      <c r="B491" s="71"/>
      <c r="C491" s="17"/>
      <c r="D491" s="25" t="s">
        <v>77</v>
      </c>
      <c r="E491" s="366" t="s">
        <v>142</v>
      </c>
      <c r="F491" s="264">
        <f>F490</f>
        <v>1204923.8432</v>
      </c>
      <c r="G491" s="434">
        <v>2</v>
      </c>
      <c r="H491" s="265">
        <f>+G491*F491</f>
        <v>2409847.6864</v>
      </c>
      <c r="I491" s="86"/>
      <c r="J491" s="26"/>
      <c r="K491" s="127"/>
      <c r="L491" s="127"/>
    </row>
    <row r="492" spans="1:12" s="29" customFormat="1">
      <c r="A492" s="103"/>
      <c r="B492" s="71"/>
      <c r="C492" s="17"/>
      <c r="D492" s="25" t="s">
        <v>137</v>
      </c>
      <c r="E492" s="350">
        <f>22*3</f>
        <v>66</v>
      </c>
      <c r="F492" s="264">
        <f>(F491/150)*2</f>
        <v>16065.651242666667</v>
      </c>
      <c r="G492" s="434">
        <f>+F496</f>
        <v>4</v>
      </c>
      <c r="H492" s="265">
        <f>+G492*F492*E492</f>
        <v>4241331.9280639999</v>
      </c>
      <c r="I492" s="86"/>
      <c r="J492" s="26"/>
      <c r="K492" s="127"/>
      <c r="L492" s="127"/>
    </row>
    <row r="493" spans="1:12" s="29" customFormat="1">
      <c r="A493" s="103"/>
      <c r="B493" s="71"/>
      <c r="C493" s="17"/>
      <c r="D493" s="25" t="s">
        <v>14</v>
      </c>
      <c r="E493" s="365" t="s">
        <v>110</v>
      </c>
      <c r="F493" s="264">
        <v>0</v>
      </c>
      <c r="G493" s="434"/>
      <c r="H493" s="265">
        <f>+G493*F493</f>
        <v>0</v>
      </c>
      <c r="I493" s="86"/>
      <c r="J493" s="26"/>
      <c r="K493" s="127"/>
      <c r="L493" s="127"/>
    </row>
    <row r="494" spans="1:12" s="29" customFormat="1">
      <c r="A494" s="103"/>
      <c r="B494" s="71"/>
      <c r="C494" s="17"/>
      <c r="D494" s="25" t="s">
        <v>15</v>
      </c>
      <c r="E494" s="365" t="s">
        <v>110</v>
      </c>
      <c r="F494" s="264">
        <v>0</v>
      </c>
      <c r="G494" s="434"/>
      <c r="H494" s="265">
        <f>+G494*F494</f>
        <v>0</v>
      </c>
      <c r="I494" s="86"/>
      <c r="J494" s="26"/>
      <c r="K494" s="127"/>
      <c r="L494" s="127"/>
    </row>
    <row r="495" spans="1:12" s="29" customFormat="1">
      <c r="A495" s="103"/>
      <c r="B495" s="71"/>
      <c r="C495" s="17"/>
      <c r="D495" s="25" t="s">
        <v>13</v>
      </c>
      <c r="E495" s="366" t="s">
        <v>143</v>
      </c>
      <c r="F495" s="264">
        <v>31896.03</v>
      </c>
      <c r="G495" s="434">
        <v>2</v>
      </c>
      <c r="H495" s="265">
        <f>+G495*F495</f>
        <v>63792.06</v>
      </c>
      <c r="I495" s="86"/>
      <c r="J495" s="26"/>
      <c r="K495" s="127"/>
      <c r="L495" s="127"/>
    </row>
    <row r="496" spans="1:12" s="29" customFormat="1">
      <c r="A496" s="103"/>
      <c r="B496" s="71"/>
      <c r="C496" s="17"/>
      <c r="D496" s="25" t="s">
        <v>136</v>
      </c>
      <c r="E496" s="365" t="s">
        <v>108</v>
      </c>
      <c r="F496" s="263">
        <f>+G490+G491+G495</f>
        <v>4</v>
      </c>
      <c r="G496" s="434" t="s">
        <v>127</v>
      </c>
      <c r="H496" s="265">
        <f>SUM(H490:H495)</f>
        <v>6714971.6744639995</v>
      </c>
      <c r="I496" s="83"/>
      <c r="J496" s="26"/>
      <c r="K496" s="127"/>
      <c r="L496" s="127"/>
    </row>
    <row r="497" spans="1:12" s="29" customFormat="1">
      <c r="A497" s="103"/>
      <c r="B497" s="71"/>
      <c r="C497" s="17"/>
      <c r="D497" s="34" t="s">
        <v>126</v>
      </c>
      <c r="E497" s="352" t="s">
        <v>108</v>
      </c>
      <c r="F497" s="264"/>
      <c r="G497" s="434"/>
      <c r="H497" s="265">
        <f>H496*8.33%</f>
        <v>559357.14048285119</v>
      </c>
      <c r="I497" s="84"/>
      <c r="J497" s="81"/>
      <c r="K497" s="127"/>
      <c r="L497" s="127"/>
    </row>
    <row r="498" spans="1:12" s="29" customFormat="1">
      <c r="A498" s="103"/>
      <c r="B498" s="71"/>
      <c r="C498" s="17"/>
      <c r="D498" s="34" t="s">
        <v>233</v>
      </c>
      <c r="E498" s="357"/>
      <c r="F498" s="264"/>
      <c r="G498" s="434"/>
      <c r="H498" s="265">
        <f>H496*7%</f>
        <v>470048.01721248002</v>
      </c>
      <c r="I498" s="85">
        <v>0</v>
      </c>
      <c r="J498" s="31">
        <f>+(H496+H497+H498)*C489</f>
        <v>15488753.664318662</v>
      </c>
      <c r="K498" s="127"/>
      <c r="L498" s="127"/>
    </row>
    <row r="499" spans="1:12" s="29" customFormat="1">
      <c r="A499" s="103"/>
      <c r="B499" s="71"/>
      <c r="C499" s="17"/>
      <c r="D499" s="32"/>
      <c r="E499" s="343"/>
      <c r="F499" s="263"/>
      <c r="G499" s="436"/>
      <c r="H499" s="267"/>
      <c r="I499" s="86"/>
      <c r="J499" s="26"/>
      <c r="K499" s="127"/>
      <c r="L499" s="127"/>
    </row>
    <row r="500" spans="1:12" s="29" customFormat="1" ht="15" customHeight="1">
      <c r="A500" s="103"/>
      <c r="B500" s="70"/>
      <c r="C500" s="3">
        <v>1</v>
      </c>
      <c r="D500" s="91" t="s">
        <v>317</v>
      </c>
      <c r="E500" s="359">
        <f>' Tablas SAT, AAA &amp; Sutep'!U6</f>
        <v>1533732.5920000002</v>
      </c>
      <c r="F500" s="263"/>
      <c r="G500" s="436"/>
      <c r="H500" s="267"/>
      <c r="I500" s="87"/>
      <c r="J500" s="45"/>
      <c r="K500" s="127"/>
      <c r="L500" s="127"/>
    </row>
    <row r="501" spans="1:12" s="29" customFormat="1">
      <c r="A501" s="103"/>
      <c r="B501" s="71"/>
      <c r="C501" s="17"/>
      <c r="D501" s="25" t="s">
        <v>83</v>
      </c>
      <c r="E501" s="367" t="s">
        <v>142</v>
      </c>
      <c r="F501" s="264">
        <f>E500</f>
        <v>1533732.5920000002</v>
      </c>
      <c r="G501" s="434">
        <v>0.5</v>
      </c>
      <c r="H501" s="265">
        <f>+G501*F501</f>
        <v>766866.29600000009</v>
      </c>
      <c r="I501" s="86"/>
      <c r="J501" s="26"/>
      <c r="K501" s="127"/>
      <c r="L501" s="127"/>
    </row>
    <row r="502" spans="1:12" s="29" customFormat="1">
      <c r="A502" s="103"/>
      <c r="B502" s="71"/>
      <c r="C502" s="17"/>
      <c r="D502" s="25" t="s">
        <v>77</v>
      </c>
      <c r="E502" s="366" t="s">
        <v>142</v>
      </c>
      <c r="F502" s="264">
        <f>F501</f>
        <v>1533732.5920000002</v>
      </c>
      <c r="G502" s="434">
        <v>2</v>
      </c>
      <c r="H502" s="265">
        <f>+G502*F502</f>
        <v>3067465.1840000004</v>
      </c>
      <c r="I502" s="86"/>
      <c r="J502" s="26"/>
      <c r="K502" s="127"/>
      <c r="L502" s="127"/>
    </row>
    <row r="503" spans="1:12" s="29" customFormat="1">
      <c r="A503" s="103"/>
      <c r="B503" s="71"/>
      <c r="C503" s="17"/>
      <c r="D503" s="25" t="s">
        <v>137</v>
      </c>
      <c r="E503" s="350">
        <f>22*3</f>
        <v>66</v>
      </c>
      <c r="F503" s="264">
        <f>(F502/150)*2</f>
        <v>20449.767893333337</v>
      </c>
      <c r="G503" s="434">
        <f>+F507</f>
        <v>4.5</v>
      </c>
      <c r="H503" s="265">
        <f>+G503*F503*E503</f>
        <v>6073581.0643200008</v>
      </c>
      <c r="I503" s="86"/>
      <c r="J503" s="26"/>
      <c r="K503" s="127"/>
      <c r="L503" s="127"/>
    </row>
    <row r="504" spans="1:12" s="29" customFormat="1">
      <c r="A504" s="103"/>
      <c r="B504" s="71"/>
      <c r="C504" s="17"/>
      <c r="D504" s="25" t="s">
        <v>14</v>
      </c>
      <c r="E504" s="365" t="s">
        <v>110</v>
      </c>
      <c r="F504" s="264">
        <v>0</v>
      </c>
      <c r="G504" s="434"/>
      <c r="H504" s="265">
        <f>+G504*F504</f>
        <v>0</v>
      </c>
      <c r="I504" s="86"/>
      <c r="J504" s="26"/>
      <c r="K504" s="127"/>
      <c r="L504" s="127"/>
    </row>
    <row r="505" spans="1:12" s="29" customFormat="1">
      <c r="A505" s="103"/>
      <c r="B505" s="71"/>
      <c r="C505" s="17"/>
      <c r="D505" s="25" t="s">
        <v>15</v>
      </c>
      <c r="E505" s="365" t="s">
        <v>110</v>
      </c>
      <c r="F505" s="264">
        <v>0</v>
      </c>
      <c r="G505" s="434"/>
      <c r="H505" s="265">
        <f>+G505*F505</f>
        <v>0</v>
      </c>
      <c r="I505" s="86"/>
      <c r="J505" s="26"/>
      <c r="K505" s="127"/>
      <c r="L505" s="127"/>
    </row>
    <row r="506" spans="1:12" s="29" customFormat="1">
      <c r="A506" s="103"/>
      <c r="B506" s="71"/>
      <c r="C506" s="17"/>
      <c r="D506" s="25" t="s">
        <v>13</v>
      </c>
      <c r="E506" s="366" t="s">
        <v>143</v>
      </c>
      <c r="F506" s="264">
        <v>31896.03</v>
      </c>
      <c r="G506" s="434">
        <v>2</v>
      </c>
      <c r="H506" s="265">
        <f>+G506*F506</f>
        <v>63792.06</v>
      </c>
      <c r="I506" s="86"/>
      <c r="J506" s="26"/>
      <c r="K506" s="127"/>
      <c r="L506" s="127"/>
    </row>
    <row r="507" spans="1:12" s="29" customFormat="1">
      <c r="A507" s="103"/>
      <c r="B507" s="71"/>
      <c r="C507" s="17"/>
      <c r="D507" s="25" t="s">
        <v>136</v>
      </c>
      <c r="E507" s="365" t="s">
        <v>108</v>
      </c>
      <c r="F507" s="263">
        <f>+G501+G502+G506</f>
        <v>4.5</v>
      </c>
      <c r="G507" s="434" t="s">
        <v>127</v>
      </c>
      <c r="H507" s="265">
        <f>SUM(H501:H506)</f>
        <v>9971704.6043200027</v>
      </c>
      <c r="I507" s="83"/>
      <c r="J507" s="26"/>
      <c r="K507" s="127"/>
      <c r="L507" s="127"/>
    </row>
    <row r="508" spans="1:12" s="29" customFormat="1">
      <c r="A508" s="103"/>
      <c r="B508" s="71"/>
      <c r="C508" s="17"/>
      <c r="D508" s="34" t="s">
        <v>126</v>
      </c>
      <c r="E508" s="352" t="s">
        <v>108</v>
      </c>
      <c r="F508" s="264"/>
      <c r="G508" s="434"/>
      <c r="H508" s="265">
        <f>H507*8.33%</f>
        <v>830642.99353985616</v>
      </c>
      <c r="I508" s="84"/>
      <c r="J508" s="81"/>
      <c r="K508" s="127"/>
      <c r="L508" s="127"/>
    </row>
    <row r="509" spans="1:12" s="29" customFormat="1">
      <c r="A509" s="103"/>
      <c r="B509" s="71"/>
      <c r="C509" s="17"/>
      <c r="D509" s="34" t="s">
        <v>233</v>
      </c>
      <c r="E509" s="357"/>
      <c r="F509" s="264"/>
      <c r="G509" s="434"/>
      <c r="H509" s="265">
        <f>H507*7%</f>
        <v>698019.32230240025</v>
      </c>
      <c r="I509" s="85">
        <v>0</v>
      </c>
      <c r="J509" s="31">
        <f>+(H507+H508+H509)*C500</f>
        <v>11500366.920162261</v>
      </c>
      <c r="K509" s="127"/>
      <c r="L509" s="127"/>
    </row>
    <row r="510" spans="1:12" s="29" customFormat="1" ht="18.75" customHeight="1">
      <c r="A510" s="103"/>
      <c r="B510" s="71"/>
      <c r="C510" s="57">
        <f>SUM(C477:C509)</f>
        <v>5</v>
      </c>
      <c r="D510" s="32"/>
      <c r="E510" s="343"/>
      <c r="F510" s="261"/>
      <c r="G510" s="431"/>
      <c r="H510" s="262"/>
      <c r="I510" s="86"/>
      <c r="J510" s="26"/>
      <c r="K510" s="127"/>
      <c r="L510" s="127"/>
    </row>
    <row r="511" spans="1:12" s="13" customFormat="1" ht="15" customHeight="1">
      <c r="A511" s="102"/>
      <c r="B511" s="67"/>
      <c r="C511" s="124"/>
      <c r="D511" s="168"/>
      <c r="E511" s="347"/>
      <c r="F511" s="245"/>
      <c r="G511" s="414"/>
      <c r="H511" s="260"/>
      <c r="I511" s="14"/>
      <c r="J511" s="14"/>
      <c r="K511" s="127"/>
      <c r="L511" s="127"/>
    </row>
    <row r="512" spans="1:12" s="29" customFormat="1" ht="15" customHeight="1">
      <c r="A512" s="103"/>
      <c r="B512" s="70"/>
      <c r="C512" s="3"/>
      <c r="D512" s="189" t="s">
        <v>261</v>
      </c>
      <c r="E512" s="348"/>
      <c r="F512" s="257"/>
      <c r="G512" s="432"/>
      <c r="H512" s="260"/>
      <c r="I512" s="14"/>
      <c r="J512" s="14"/>
      <c r="K512" s="127"/>
      <c r="L512" s="127"/>
    </row>
    <row r="513" spans="1:12" s="29" customFormat="1" ht="15" customHeight="1">
      <c r="A513" s="103"/>
      <c r="B513" s="70"/>
      <c r="C513" s="3">
        <v>1</v>
      </c>
      <c r="D513" s="91" t="s">
        <v>374</v>
      </c>
      <c r="E513" s="359">
        <f>' Tablas SAT, AAA &amp; Sutep'!U6</f>
        <v>1533732.5920000002</v>
      </c>
      <c r="F513" s="261"/>
      <c r="G513" s="431"/>
      <c r="H513" s="262"/>
      <c r="I513" s="87"/>
      <c r="J513" s="45"/>
      <c r="K513" s="127"/>
      <c r="L513" s="127"/>
    </row>
    <row r="514" spans="1:12" s="29" customFormat="1">
      <c r="A514" s="103"/>
      <c r="B514" s="71"/>
      <c r="C514" s="17"/>
      <c r="D514" s="25" t="s">
        <v>83</v>
      </c>
      <c r="E514" s="367" t="s">
        <v>142</v>
      </c>
      <c r="F514" s="254">
        <f>E513</f>
        <v>1533732.5920000002</v>
      </c>
      <c r="G514" s="315">
        <v>2</v>
      </c>
      <c r="H514" s="252">
        <f>+G514*F514</f>
        <v>3067465.1840000004</v>
      </c>
      <c r="I514" s="322" t="s">
        <v>368</v>
      </c>
      <c r="J514" s="26"/>
      <c r="K514" s="127"/>
      <c r="L514" s="127"/>
    </row>
    <row r="515" spans="1:12" s="29" customFormat="1">
      <c r="A515" s="103"/>
      <c r="B515" s="71"/>
      <c r="C515" s="17"/>
      <c r="D515" s="25" t="s">
        <v>77</v>
      </c>
      <c r="E515" s="366" t="s">
        <v>142</v>
      </c>
      <c r="F515" s="254">
        <f>F514</f>
        <v>1533732.5920000002</v>
      </c>
      <c r="G515" s="315">
        <v>2</v>
      </c>
      <c r="H515" s="252">
        <f>+G515*F515</f>
        <v>3067465.1840000004</v>
      </c>
      <c r="I515" s="86"/>
      <c r="J515" s="26"/>
      <c r="K515" s="127"/>
      <c r="L515" s="127"/>
    </row>
    <row r="516" spans="1:12" s="29" customFormat="1">
      <c r="A516" s="103"/>
      <c r="B516" s="71"/>
      <c r="C516" s="17"/>
      <c r="D516" s="25" t="s">
        <v>137</v>
      </c>
      <c r="E516" s="350"/>
      <c r="F516" s="264">
        <f>(F515/150)*2</f>
        <v>20449.767893333337</v>
      </c>
      <c r="G516" s="434">
        <f>+F520</f>
        <v>6</v>
      </c>
      <c r="H516" s="265">
        <f>+G516*F516*E516</f>
        <v>0</v>
      </c>
      <c r="I516" s="86"/>
      <c r="J516" s="26"/>
      <c r="K516" s="127"/>
      <c r="L516" s="127"/>
    </row>
    <row r="517" spans="1:12" s="29" customFormat="1">
      <c r="A517" s="103"/>
      <c r="B517" s="71"/>
      <c r="C517" s="17"/>
      <c r="D517" s="25" t="s">
        <v>14</v>
      </c>
      <c r="E517" s="365" t="s">
        <v>110</v>
      </c>
      <c r="F517" s="264">
        <v>0</v>
      </c>
      <c r="G517" s="434"/>
      <c r="H517" s="265">
        <f>+G517*F517</f>
        <v>0</v>
      </c>
      <c r="I517" s="86"/>
      <c r="J517" s="26"/>
      <c r="K517" s="127"/>
      <c r="L517" s="127"/>
    </row>
    <row r="518" spans="1:12" s="29" customFormat="1">
      <c r="A518" s="103"/>
      <c r="B518" s="71"/>
      <c r="C518" s="17"/>
      <c r="D518" s="25" t="s">
        <v>15</v>
      </c>
      <c r="E518" s="365" t="s">
        <v>110</v>
      </c>
      <c r="F518" s="264">
        <v>0</v>
      </c>
      <c r="G518" s="434"/>
      <c r="H518" s="265">
        <f>+G518*F518</f>
        <v>0</v>
      </c>
      <c r="I518" s="86"/>
      <c r="J518" s="26"/>
      <c r="K518" s="127"/>
      <c r="L518" s="127"/>
    </row>
    <row r="519" spans="1:12" s="29" customFormat="1">
      <c r="A519" s="103"/>
      <c r="B519" s="71"/>
      <c r="C519" s="17"/>
      <c r="D519" s="25" t="s">
        <v>13</v>
      </c>
      <c r="E519" s="366" t="s">
        <v>143</v>
      </c>
      <c r="F519" s="268">
        <v>37371.11</v>
      </c>
      <c r="G519" s="434">
        <v>2</v>
      </c>
      <c r="H519" s="265">
        <f>+G519*F519</f>
        <v>74742.22</v>
      </c>
      <c r="I519" s="86"/>
      <c r="J519" s="26"/>
      <c r="K519" s="127"/>
      <c r="L519" s="127"/>
    </row>
    <row r="520" spans="1:12" s="29" customFormat="1">
      <c r="A520" s="103"/>
      <c r="B520" s="71"/>
      <c r="C520" s="17"/>
      <c r="D520" s="25" t="s">
        <v>136</v>
      </c>
      <c r="E520" s="365" t="s">
        <v>108</v>
      </c>
      <c r="F520" s="263">
        <f>+G514+G515+G519</f>
        <v>6</v>
      </c>
      <c r="G520" s="434" t="s">
        <v>127</v>
      </c>
      <c r="H520" s="265">
        <f>SUM(H514:H519)</f>
        <v>6209672.5880000005</v>
      </c>
      <c r="I520" s="83"/>
      <c r="J520" s="26"/>
      <c r="K520" s="127"/>
      <c r="L520" s="127"/>
    </row>
    <row r="521" spans="1:12" s="29" customFormat="1">
      <c r="A521" s="103"/>
      <c r="B521" s="71"/>
      <c r="C521" s="17"/>
      <c r="D521" s="34" t="s">
        <v>126</v>
      </c>
      <c r="E521" s="352" t="s">
        <v>108</v>
      </c>
      <c r="F521" s="264"/>
      <c r="G521" s="434"/>
      <c r="H521" s="265">
        <f>H520*8.33%</f>
        <v>517265.72658040002</v>
      </c>
      <c r="I521" s="84"/>
      <c r="J521" s="81"/>
      <c r="K521" s="127"/>
      <c r="L521" s="127"/>
    </row>
    <row r="522" spans="1:12" s="29" customFormat="1">
      <c r="A522" s="103"/>
      <c r="B522" s="71"/>
      <c r="C522" s="17"/>
      <c r="D522" s="34" t="s">
        <v>233</v>
      </c>
      <c r="E522" s="357"/>
      <c r="F522" s="264"/>
      <c r="G522" s="434"/>
      <c r="H522" s="265">
        <f>H520*7%</f>
        <v>434677.08116000006</v>
      </c>
      <c r="I522" s="85">
        <v>0</v>
      </c>
      <c r="J522" s="31">
        <f>+(H520+H521+H522)*C513</f>
        <v>7161615.395740401</v>
      </c>
      <c r="K522" s="127"/>
      <c r="L522" s="127"/>
    </row>
    <row r="523" spans="1:12" s="29" customFormat="1">
      <c r="A523" s="103"/>
      <c r="B523" s="71"/>
      <c r="C523" s="17"/>
      <c r="D523" s="32"/>
      <c r="E523" s="343"/>
      <c r="F523" s="263"/>
      <c r="G523" s="436"/>
      <c r="H523" s="267"/>
      <c r="I523" s="86"/>
      <c r="J523" s="26"/>
      <c r="K523" s="127"/>
      <c r="L523" s="127"/>
    </row>
    <row r="524" spans="1:12" s="29" customFormat="1" ht="15" customHeight="1">
      <c r="A524" s="103"/>
      <c r="B524" s="70"/>
      <c r="C524" s="3">
        <v>1</v>
      </c>
      <c r="D524" s="91" t="s">
        <v>373</v>
      </c>
      <c r="E524" s="480">
        <f>' Tablas SAT, AAA &amp; Sutep'!U8</f>
        <v>1306174.2960000001</v>
      </c>
      <c r="F524" s="261"/>
      <c r="G524" s="431"/>
      <c r="H524" s="262"/>
      <c r="I524" s="87"/>
      <c r="J524" s="45"/>
      <c r="K524" s="127"/>
      <c r="L524" s="127"/>
    </row>
    <row r="525" spans="1:12" s="29" customFormat="1">
      <c r="A525" s="103"/>
      <c r="B525" s="71"/>
      <c r="C525" s="17"/>
      <c r="D525" s="25" t="s">
        <v>83</v>
      </c>
      <c r="E525" s="367" t="s">
        <v>142</v>
      </c>
      <c r="F525" s="254">
        <f>E524</f>
        <v>1306174.2960000001</v>
      </c>
      <c r="G525" s="315">
        <v>1</v>
      </c>
      <c r="H525" s="252">
        <f>+G525*F525</f>
        <v>1306174.2960000001</v>
      </c>
      <c r="I525" s="322" t="s">
        <v>369</v>
      </c>
      <c r="J525" s="26"/>
      <c r="K525" s="127"/>
      <c r="L525" s="127"/>
    </row>
    <row r="526" spans="1:12" s="29" customFormat="1">
      <c r="A526" s="103"/>
      <c r="B526" s="71"/>
      <c r="C526" s="17"/>
      <c r="D526" s="25" t="s">
        <v>77</v>
      </c>
      <c r="E526" s="366" t="s">
        <v>142</v>
      </c>
      <c r="F526" s="254">
        <f>E524</f>
        <v>1306174.2960000001</v>
      </c>
      <c r="G526" s="315">
        <v>2</v>
      </c>
      <c r="H526" s="252">
        <f>+G526*F526</f>
        <v>2612348.5920000002</v>
      </c>
      <c r="I526" s="86"/>
      <c r="J526" s="26"/>
      <c r="K526" s="127"/>
      <c r="L526" s="127"/>
    </row>
    <row r="527" spans="1:12" s="29" customFormat="1">
      <c r="A527" s="103"/>
      <c r="B527" s="71"/>
      <c r="C527" s="17"/>
      <c r="D527" s="25" t="s">
        <v>137</v>
      </c>
      <c r="E527" s="350">
        <v>0</v>
      </c>
      <c r="F527" s="264">
        <f>(F526/150)*2</f>
        <v>17415.657279999999</v>
      </c>
      <c r="G527" s="434">
        <f>+F531</f>
        <v>5</v>
      </c>
      <c r="H527" s="265">
        <f>+G527*F527*E527</f>
        <v>0</v>
      </c>
      <c r="I527" s="86"/>
      <c r="J527" s="26"/>
      <c r="K527" s="127"/>
      <c r="L527" s="127"/>
    </row>
    <row r="528" spans="1:12" s="29" customFormat="1">
      <c r="A528" s="103"/>
      <c r="B528" s="71"/>
      <c r="C528" s="17"/>
      <c r="D528" s="25" t="s">
        <v>14</v>
      </c>
      <c r="E528" s="365" t="s">
        <v>110</v>
      </c>
      <c r="F528" s="264">
        <v>0</v>
      </c>
      <c r="G528" s="434"/>
      <c r="H528" s="265">
        <f>+G528*F528</f>
        <v>0</v>
      </c>
      <c r="I528" s="86"/>
      <c r="J528" s="26"/>
      <c r="K528" s="127"/>
      <c r="L528" s="127"/>
    </row>
    <row r="529" spans="1:18" s="29" customFormat="1">
      <c r="A529" s="103"/>
      <c r="B529" s="71"/>
      <c r="C529" s="17"/>
      <c r="D529" s="25" t="s">
        <v>15</v>
      </c>
      <c r="E529" s="365" t="s">
        <v>110</v>
      </c>
      <c r="F529" s="264">
        <v>0</v>
      </c>
      <c r="G529" s="434"/>
      <c r="H529" s="265">
        <f>+G529*F529</f>
        <v>0</v>
      </c>
      <c r="I529" s="86"/>
      <c r="J529" s="26"/>
      <c r="K529" s="127"/>
      <c r="L529" s="127"/>
    </row>
    <row r="530" spans="1:18" s="29" customFormat="1">
      <c r="A530" s="103"/>
      <c r="B530" s="71"/>
      <c r="C530" s="17"/>
      <c r="D530" s="25" t="s">
        <v>13</v>
      </c>
      <c r="E530" s="366" t="s">
        <v>143</v>
      </c>
      <c r="F530" s="264">
        <f>E524</f>
        <v>1306174.2960000001</v>
      </c>
      <c r="G530" s="434">
        <v>2</v>
      </c>
      <c r="H530" s="265">
        <f>+G530*F530</f>
        <v>2612348.5920000002</v>
      </c>
      <c r="I530" s="86"/>
      <c r="J530" s="26"/>
      <c r="K530" s="127"/>
      <c r="L530" s="127"/>
    </row>
    <row r="531" spans="1:18" s="29" customFormat="1">
      <c r="A531" s="103"/>
      <c r="B531" s="71"/>
      <c r="C531" s="17"/>
      <c r="D531" s="25" t="s">
        <v>136</v>
      </c>
      <c r="E531" s="365" t="s">
        <v>108</v>
      </c>
      <c r="F531" s="263">
        <f>+G525+G526+G530</f>
        <v>5</v>
      </c>
      <c r="G531" s="434" t="s">
        <v>127</v>
      </c>
      <c r="H531" s="265">
        <f>SUM(H525:H530)</f>
        <v>6530871.4800000004</v>
      </c>
      <c r="I531" s="83"/>
      <c r="J531" s="26"/>
      <c r="K531" s="127"/>
      <c r="L531" s="127"/>
    </row>
    <row r="532" spans="1:18" s="29" customFormat="1">
      <c r="A532" s="103"/>
      <c r="B532" s="71"/>
      <c r="C532" s="17"/>
      <c r="D532" s="34" t="s">
        <v>126</v>
      </c>
      <c r="E532" s="352" t="s">
        <v>108</v>
      </c>
      <c r="F532" s="264"/>
      <c r="G532" s="434"/>
      <c r="H532" s="265">
        <f>H531*8.33%</f>
        <v>544021.59428399999</v>
      </c>
      <c r="I532" s="84"/>
      <c r="J532" s="81"/>
      <c r="K532" s="127"/>
      <c r="L532" s="127"/>
    </row>
    <row r="533" spans="1:18" s="29" customFormat="1">
      <c r="A533" s="103"/>
      <c r="B533" s="71"/>
      <c r="C533" s="17"/>
      <c r="D533" s="34" t="s">
        <v>233</v>
      </c>
      <c r="E533" s="357"/>
      <c r="F533" s="264"/>
      <c r="G533" s="434"/>
      <c r="H533" s="265">
        <f>H531*7%</f>
        <v>457161.00360000005</v>
      </c>
      <c r="I533" s="85">
        <v>0</v>
      </c>
      <c r="J533" s="31">
        <f>+(H531+H532+H533)*C524</f>
        <v>7532054.0778840007</v>
      </c>
      <c r="K533" s="127"/>
      <c r="L533" s="127"/>
    </row>
    <row r="534" spans="1:18" s="29" customFormat="1">
      <c r="A534" s="103"/>
      <c r="B534" s="71"/>
      <c r="C534" s="17"/>
      <c r="D534" s="32"/>
      <c r="E534" s="343"/>
      <c r="F534" s="263"/>
      <c r="G534" s="436"/>
      <c r="H534" s="267"/>
      <c r="I534" s="86"/>
      <c r="J534" s="26"/>
      <c r="K534" s="127"/>
      <c r="L534" s="127"/>
    </row>
    <row r="535" spans="1:18" s="13" customFormat="1" ht="21.95" customHeight="1">
      <c r="A535" s="102"/>
      <c r="B535" s="67"/>
      <c r="C535" s="57">
        <f>SUM(C512:C534)</f>
        <v>2</v>
      </c>
      <c r="D535" s="41"/>
      <c r="E535" s="347"/>
      <c r="F535" s="594" t="s">
        <v>175</v>
      </c>
      <c r="G535" s="595"/>
      <c r="H535" s="270">
        <f>SUM(J98:J533)</f>
        <v>608117294.98161709</v>
      </c>
      <c r="I535" s="133">
        <f>SUM(I109:I510)</f>
        <v>0</v>
      </c>
      <c r="J535" s="133">
        <f>SUM(J96:J534)</f>
        <v>608117294.98161709</v>
      </c>
      <c r="K535" s="127"/>
      <c r="L535" s="127"/>
    </row>
    <row r="536" spans="1:18" s="13" customFormat="1" ht="21.95" customHeight="1">
      <c r="B536" s="190"/>
      <c r="C536" s="191"/>
      <c r="D536" s="134"/>
      <c r="E536" s="368"/>
      <c r="F536" s="271"/>
      <c r="G536" s="415"/>
      <c r="H536" s="272"/>
      <c r="I536" s="135"/>
      <c r="J536" s="135"/>
      <c r="K536" s="127"/>
      <c r="L536" s="127"/>
    </row>
    <row r="537" spans="1:18" s="13" customFormat="1" ht="23.1" customHeight="1">
      <c r="A537" s="102"/>
      <c r="B537" s="67"/>
      <c r="C537" s="57">
        <f>SUM(C535+C475+C142+C510)</f>
        <v>52</v>
      </c>
      <c r="D537" s="41"/>
      <c r="E537" s="347"/>
      <c r="F537" s="245"/>
      <c r="G537" s="414"/>
      <c r="H537" s="273"/>
      <c r="I537" s="108"/>
      <c r="J537" s="108"/>
      <c r="K537" s="127"/>
      <c r="L537" s="127"/>
      <c r="P537" s="486">
        <v>0.12</v>
      </c>
    </row>
    <row r="538" spans="1:18" s="29" customFormat="1" ht="15" customHeight="1">
      <c r="A538" s="103"/>
      <c r="B538" s="70"/>
      <c r="C538" s="3"/>
      <c r="D538" s="92" t="s">
        <v>151</v>
      </c>
      <c r="E538" s="369"/>
      <c r="F538" s="274"/>
      <c r="G538" s="439"/>
      <c r="H538" s="275"/>
      <c r="I538" s="144"/>
      <c r="J538" s="145"/>
      <c r="K538" s="127"/>
      <c r="L538" s="127"/>
      <c r="N538" s="310"/>
      <c r="O538" s="485">
        <v>45992</v>
      </c>
      <c r="P538" s="313" t="s">
        <v>392</v>
      </c>
    </row>
    <row r="539" spans="1:18" s="29" customFormat="1">
      <c r="A539" s="103"/>
      <c r="B539" s="71"/>
      <c r="C539" s="17"/>
      <c r="D539" s="25" t="s">
        <v>152</v>
      </c>
      <c r="E539" s="366" t="s">
        <v>58</v>
      </c>
      <c r="F539" s="254">
        <f t="shared" ref="F539:F545" si="13">P539</f>
        <v>10103.6432</v>
      </c>
      <c r="G539" s="315"/>
      <c r="H539" s="252"/>
      <c r="I539" s="86"/>
      <c r="J539" s="26"/>
      <c r="K539" s="127"/>
      <c r="L539" s="127"/>
      <c r="N539" s="482" t="s">
        <v>152</v>
      </c>
      <c r="O539" s="483">
        <v>9021.11</v>
      </c>
      <c r="P539" s="483">
        <f t="shared" ref="P539:P545" si="14">O539+O539*$P$537</f>
        <v>10103.6432</v>
      </c>
      <c r="R539" s="487"/>
    </row>
    <row r="540" spans="1:18" s="29" customFormat="1">
      <c r="A540" s="103"/>
      <c r="B540" s="71"/>
      <c r="C540" s="17"/>
      <c r="D540" s="25" t="s">
        <v>153</v>
      </c>
      <c r="E540" s="366" t="s">
        <v>149</v>
      </c>
      <c r="F540" s="254">
        <f t="shared" si="13"/>
        <v>7489.7536</v>
      </c>
      <c r="G540" s="315">
        <f>F105+F116+F127+F138+F152+F163*C156+F174+F185+F196+F207+F218+F229+F240*2+F251*C244+F262+F273+F284+F295+F306*2+F317+F328+F339+F350+F361+F372+F383+F394+F405+F416+F427+F438+F449+F460+F471*C464+F485+F496*C489+F507</f>
        <v>143.75</v>
      </c>
      <c r="H540" s="252">
        <f>+G540*F540*22</f>
        <v>23686345.760000002</v>
      </c>
      <c r="I540" s="86"/>
      <c r="J540" s="26"/>
      <c r="K540" s="127"/>
      <c r="L540" s="127"/>
      <c r="N540" s="482" t="s">
        <v>153</v>
      </c>
      <c r="O540" s="483">
        <v>6687.28</v>
      </c>
      <c r="P540" s="483">
        <f t="shared" si="14"/>
        <v>7489.7536</v>
      </c>
      <c r="R540" s="487"/>
    </row>
    <row r="541" spans="1:18" s="29" customFormat="1">
      <c r="A541" s="103"/>
      <c r="B541" s="71"/>
      <c r="C541" s="17"/>
      <c r="D541" s="25" t="s">
        <v>154</v>
      </c>
      <c r="E541" s="370" t="s">
        <v>149</v>
      </c>
      <c r="F541" s="254">
        <f t="shared" si="13"/>
        <v>2472.3439999999996</v>
      </c>
      <c r="G541" s="315"/>
      <c r="H541" s="252"/>
      <c r="I541" s="86"/>
      <c r="J541" s="26"/>
      <c r="K541" s="127"/>
      <c r="L541" s="127"/>
      <c r="N541" s="482" t="s">
        <v>154</v>
      </c>
      <c r="O541" s="483">
        <v>2207.4499999999998</v>
      </c>
      <c r="P541" s="483">
        <f t="shared" si="14"/>
        <v>2472.3439999999996</v>
      </c>
      <c r="R541" s="487"/>
    </row>
    <row r="542" spans="1:18" s="29" customFormat="1">
      <c r="A542" s="103"/>
      <c r="B542" s="71"/>
      <c r="C542" s="17"/>
      <c r="D542" s="25" t="s">
        <v>155</v>
      </c>
      <c r="E542" s="365" t="s">
        <v>149</v>
      </c>
      <c r="F542" s="254">
        <f t="shared" si="13"/>
        <v>9328.4351999999999</v>
      </c>
      <c r="G542" s="315">
        <f>+F542*22</f>
        <v>205225.57439999998</v>
      </c>
      <c r="H542" s="252">
        <f>+G542*3*C475</f>
        <v>24627068.927999996</v>
      </c>
      <c r="I542" s="86"/>
      <c r="J542" s="26"/>
      <c r="K542" s="127"/>
      <c r="L542" s="127"/>
      <c r="N542" s="482" t="s">
        <v>155</v>
      </c>
      <c r="O542" s="483">
        <v>8328.9599999999991</v>
      </c>
      <c r="P542" s="483">
        <f t="shared" si="14"/>
        <v>9328.4351999999999</v>
      </c>
      <c r="R542" s="487"/>
    </row>
    <row r="543" spans="1:18" s="29" customFormat="1">
      <c r="A543" s="103"/>
      <c r="B543" s="71"/>
      <c r="C543" s="17"/>
      <c r="D543" s="25" t="s">
        <v>156</v>
      </c>
      <c r="E543" s="365" t="s">
        <v>58</v>
      </c>
      <c r="F543" s="254">
        <f t="shared" si="13"/>
        <v>2472.3439999999996</v>
      </c>
      <c r="G543" s="315"/>
      <c r="H543" s="252"/>
      <c r="I543" s="86"/>
      <c r="J543" s="26"/>
      <c r="K543" s="127"/>
      <c r="L543" s="127"/>
      <c r="N543" s="482" t="s">
        <v>156</v>
      </c>
      <c r="O543" s="483">
        <v>2207.4499999999998</v>
      </c>
      <c r="P543" s="483">
        <f t="shared" si="14"/>
        <v>2472.3439999999996</v>
      </c>
    </row>
    <row r="544" spans="1:18" s="29" customFormat="1">
      <c r="A544" s="103"/>
      <c r="B544" s="71"/>
      <c r="C544" s="17"/>
      <c r="D544" s="25" t="s">
        <v>157</v>
      </c>
      <c r="E544" s="366" t="s">
        <v>58</v>
      </c>
      <c r="F544" s="254">
        <f t="shared" si="13"/>
        <v>106816.00159999999</v>
      </c>
      <c r="G544" s="315"/>
      <c r="H544" s="252"/>
      <c r="I544" s="86"/>
      <c r="J544" s="26"/>
      <c r="K544" s="127"/>
      <c r="L544" s="127"/>
      <c r="N544" s="482" t="s">
        <v>157</v>
      </c>
      <c r="O544" s="483">
        <v>95371.43</v>
      </c>
      <c r="P544" s="483">
        <f t="shared" si="14"/>
        <v>106816.00159999999</v>
      </c>
    </row>
    <row r="545" spans="1:17" s="29" customFormat="1">
      <c r="A545" s="103"/>
      <c r="B545" s="71"/>
      <c r="C545" s="17"/>
      <c r="D545" s="25" t="s">
        <v>158</v>
      </c>
      <c r="E545" s="365" t="s">
        <v>160</v>
      </c>
      <c r="F545" s="254">
        <f t="shared" si="13"/>
        <v>213632.37280000001</v>
      </c>
      <c r="G545" s="434">
        <f>+C537</f>
        <v>52</v>
      </c>
      <c r="H545" s="265">
        <f>+F545*G545</f>
        <v>11108883.385600001</v>
      </c>
      <c r="I545" s="83"/>
      <c r="J545" s="26"/>
      <c r="K545" s="127"/>
      <c r="L545" s="127"/>
      <c r="N545" s="484" t="s">
        <v>158</v>
      </c>
      <c r="O545" s="483">
        <v>190743.19</v>
      </c>
      <c r="P545" s="483">
        <f t="shared" si="14"/>
        <v>213632.37280000001</v>
      </c>
    </row>
    <row r="546" spans="1:17" s="29" customFormat="1">
      <c r="A546" s="103"/>
      <c r="B546" s="71"/>
      <c r="C546" s="17"/>
      <c r="D546" s="207" t="s">
        <v>126</v>
      </c>
      <c r="E546" s="365" t="s">
        <v>160</v>
      </c>
      <c r="F546" s="254"/>
      <c r="G546" s="434">
        <f>+C537</f>
        <v>52</v>
      </c>
      <c r="H546" s="252">
        <f>+H540/4*0.5+H542/2.5*0.5+H547/4*0.5</f>
        <v>7886207.0055999998</v>
      </c>
      <c r="I546" s="84"/>
      <c r="J546" s="81"/>
      <c r="K546" s="127"/>
      <c r="L546" s="127"/>
      <c r="M546" s="311"/>
    </row>
    <row r="547" spans="1:17" s="29" customFormat="1">
      <c r="A547" s="103"/>
      <c r="B547" s="71"/>
      <c r="C547" s="17"/>
      <c r="D547" s="167" t="s">
        <v>236</v>
      </c>
      <c r="E547" s="371" t="s">
        <v>235</v>
      </c>
      <c r="F547" s="264">
        <f>427*1.45</f>
        <v>619.15</v>
      </c>
      <c r="G547" s="440">
        <f>J3*2</f>
        <v>0</v>
      </c>
      <c r="H547" s="252">
        <f>+G547*F547*10</f>
        <v>0</v>
      </c>
      <c r="I547" s="129">
        <v>0</v>
      </c>
      <c r="J547" s="130">
        <f>SUM(H539:H547)</f>
        <v>67308505.0792</v>
      </c>
      <c r="K547" s="127"/>
      <c r="L547" s="127"/>
      <c r="M547" s="312"/>
    </row>
    <row r="548" spans="1:17" s="29" customFormat="1">
      <c r="A548" s="103"/>
      <c r="B548" s="71"/>
      <c r="C548" s="17"/>
      <c r="D548" s="131"/>
      <c r="E548" s="359"/>
      <c r="F548" s="254"/>
      <c r="G548" s="315"/>
      <c r="H548" s="252"/>
      <c r="I548" s="85"/>
      <c r="J548" s="31"/>
      <c r="K548" s="127"/>
      <c r="L548" s="127"/>
      <c r="P548" s="481"/>
    </row>
    <row r="549" spans="1:17" ht="20.100000000000001" customHeight="1">
      <c r="A549" s="98"/>
      <c r="B549" s="63"/>
      <c r="C549" s="78"/>
      <c r="D549" s="2"/>
      <c r="E549" s="343"/>
      <c r="F549" s="600" t="s">
        <v>174</v>
      </c>
      <c r="G549" s="600"/>
      <c r="H549" s="270">
        <f>SUM(H539:H548)</f>
        <v>67308505.0792</v>
      </c>
      <c r="I549" s="133">
        <f>SUM(I111:I548)</f>
        <v>0</v>
      </c>
      <c r="J549" s="133">
        <f>SUM(J539:J548)</f>
        <v>67308505.0792</v>
      </c>
      <c r="K549" s="127"/>
      <c r="L549" s="127"/>
    </row>
    <row r="550" spans="1:17" ht="20.100000000000001" customHeight="1">
      <c r="A550" s="98"/>
      <c r="B550" s="63"/>
      <c r="C550" s="78"/>
      <c r="D550" s="2"/>
      <c r="E550" s="343"/>
      <c r="F550" s="276"/>
      <c r="G550" s="416"/>
      <c r="H550" s="277"/>
      <c r="I550" s="132"/>
      <c r="J550" s="132"/>
      <c r="K550" s="127"/>
      <c r="L550" s="127"/>
    </row>
    <row r="551" spans="1:17" ht="20.100000000000001" customHeight="1">
      <c r="A551" s="98"/>
      <c r="B551" s="63"/>
      <c r="C551" s="78"/>
      <c r="D551" s="2"/>
      <c r="E551" s="343"/>
      <c r="F551" s="600" t="s">
        <v>79</v>
      </c>
      <c r="G551" s="600"/>
      <c r="H551" s="270">
        <f>+H549+H535</f>
        <v>675425800.06081712</v>
      </c>
      <c r="I551" s="133"/>
      <c r="J551" s="133">
        <f>+H551</f>
        <v>675425800.06081712</v>
      </c>
      <c r="K551" s="127"/>
      <c r="L551" s="127"/>
      <c r="M551" s="127"/>
      <c r="N551" s="127"/>
      <c r="O551" s="127"/>
      <c r="P551" s="127"/>
      <c r="Q551" s="127"/>
    </row>
    <row r="552" spans="1:17" ht="30" customHeight="1">
      <c r="A552" s="98"/>
      <c r="B552" s="63"/>
      <c r="D552" s="2"/>
      <c r="E552" s="372"/>
      <c r="F552" s="278"/>
      <c r="G552" s="417"/>
      <c r="H552" s="279"/>
      <c r="I552" s="151"/>
      <c r="J552" s="151"/>
      <c r="K552" s="127"/>
      <c r="L552" s="127"/>
      <c r="M552" s="127"/>
      <c r="N552" s="127"/>
      <c r="O552" s="127"/>
      <c r="P552" s="127"/>
      <c r="Q552" s="127"/>
    </row>
    <row r="553" spans="1:17" s="13" customFormat="1" ht="15" customHeight="1">
      <c r="A553" s="102"/>
      <c r="B553" s="69"/>
      <c r="C553" s="120">
        <v>5</v>
      </c>
      <c r="D553" s="169" t="s">
        <v>239</v>
      </c>
      <c r="E553" s="344" t="s">
        <v>73</v>
      </c>
      <c r="F553" s="249" t="s">
        <v>38</v>
      </c>
      <c r="G553" s="413" t="s">
        <v>39</v>
      </c>
      <c r="H553" s="250" t="s">
        <v>52</v>
      </c>
      <c r="I553" s="118" t="s">
        <v>54</v>
      </c>
      <c r="J553" s="118" t="s">
        <v>118</v>
      </c>
      <c r="K553" s="127"/>
      <c r="L553" s="127"/>
      <c r="M553" s="127"/>
      <c r="N553" s="127"/>
      <c r="O553" s="127"/>
      <c r="P553" s="127"/>
      <c r="Q553" s="127"/>
    </row>
    <row r="554" spans="1:17" s="24" customFormat="1" ht="15" customHeight="1">
      <c r="A554" s="104"/>
      <c r="B554" s="72"/>
      <c r="C554" s="3">
        <v>1</v>
      </c>
      <c r="D554" s="92" t="s">
        <v>163</v>
      </c>
      <c r="E554" s="373"/>
      <c r="F554" s="280"/>
      <c r="G554" s="441"/>
      <c r="H554" s="281"/>
      <c r="I554" s="49"/>
      <c r="J554" s="46"/>
      <c r="K554" s="127"/>
      <c r="L554" s="127"/>
      <c r="M554" s="127"/>
      <c r="N554" s="127"/>
      <c r="O554" s="127"/>
      <c r="P554" s="127"/>
      <c r="Q554" s="127"/>
    </row>
    <row r="555" spans="1:17" s="8" customFormat="1">
      <c r="A555" s="98"/>
      <c r="B555" s="66"/>
      <c r="C555" s="20"/>
      <c r="D555" s="314" t="s">
        <v>395</v>
      </c>
      <c r="E555" s="346" t="s">
        <v>188</v>
      </c>
      <c r="F555" s="327">
        <f>+' Tablas SAT, AAA &amp; Sutep'!U20</f>
        <v>5508783.8400000008</v>
      </c>
      <c r="G555" s="315">
        <v>2</v>
      </c>
      <c r="H555" s="252">
        <f>+G555*F555*C554</f>
        <v>11017567.680000002</v>
      </c>
      <c r="I555" s="50"/>
      <c r="J555" s="26"/>
      <c r="K555" s="127"/>
      <c r="L555" s="127"/>
      <c r="M555" s="127"/>
      <c r="N555" s="127"/>
      <c r="O555" s="127"/>
      <c r="P555" s="127"/>
      <c r="Q555" s="127"/>
    </row>
    <row r="556" spans="1:17" s="8" customFormat="1">
      <c r="A556" s="98"/>
      <c r="B556" s="66"/>
      <c r="C556" s="20"/>
      <c r="D556" s="34" t="s">
        <v>126</v>
      </c>
      <c r="E556" s="352" t="s">
        <v>108</v>
      </c>
      <c r="F556" s="264"/>
      <c r="G556" s="434"/>
      <c r="H556" s="265">
        <f>H555*8.33%</f>
        <v>917763.38774400007</v>
      </c>
      <c r="I556" s="50"/>
      <c r="J556" s="26"/>
      <c r="K556" s="127"/>
      <c r="L556" s="127"/>
      <c r="M556" s="127"/>
      <c r="N556" s="127"/>
      <c r="O556" s="127"/>
      <c r="P556" s="127"/>
      <c r="Q556" s="127"/>
    </row>
    <row r="557" spans="1:17" s="8" customFormat="1">
      <c r="A557" s="98"/>
      <c r="B557" s="66"/>
      <c r="C557" s="20"/>
      <c r="D557" s="34" t="s">
        <v>233</v>
      </c>
      <c r="E557" s="357"/>
      <c r="F557" s="264"/>
      <c r="G557" s="434"/>
      <c r="H557" s="265">
        <f>H555*7%</f>
        <v>771229.73760000023</v>
      </c>
      <c r="I557" s="51"/>
      <c r="J557" s="27"/>
      <c r="K557" s="127"/>
      <c r="L557" s="127"/>
    </row>
    <row r="558" spans="1:17" s="8" customFormat="1">
      <c r="A558" s="98"/>
      <c r="B558" s="66"/>
      <c r="C558" s="19"/>
      <c r="D558" s="25"/>
      <c r="E558" s="346" t="s">
        <v>108</v>
      </c>
      <c r="F558" s="252"/>
      <c r="G558" s="315">
        <f>SUM(G555:G557)</f>
        <v>2</v>
      </c>
      <c r="H558" s="252">
        <f>SUM(H555:H557)</f>
        <v>12706560.805344002</v>
      </c>
      <c r="I558" s="31">
        <v>0</v>
      </c>
      <c r="J558" s="31">
        <f>+H558*C554</f>
        <v>12706560.805344002</v>
      </c>
      <c r="K558" s="127"/>
      <c r="L558" s="127"/>
    </row>
    <row r="559" spans="1:17" s="24" customFormat="1" ht="15" customHeight="1">
      <c r="A559" s="104"/>
      <c r="B559" s="72"/>
      <c r="C559" s="3">
        <v>6</v>
      </c>
      <c r="D559" s="92" t="s">
        <v>204</v>
      </c>
      <c r="E559" s="373"/>
      <c r="F559" s="280"/>
      <c r="G559" s="441"/>
      <c r="H559" s="281"/>
      <c r="I559" s="49"/>
      <c r="J559" s="46"/>
      <c r="K559" s="127"/>
      <c r="L559" s="127"/>
    </row>
    <row r="560" spans="1:17" s="8" customFormat="1">
      <c r="A560" s="98"/>
      <c r="B560" s="66"/>
      <c r="C560" s="20"/>
      <c r="D560" s="25" t="s">
        <v>147</v>
      </c>
      <c r="E560" s="346" t="s">
        <v>188</v>
      </c>
      <c r="F560" s="265">
        <f>8000*H4</f>
        <v>12000000</v>
      </c>
      <c r="G560" s="315">
        <v>2</v>
      </c>
      <c r="H560" s="252">
        <f>+G560*F560</f>
        <v>24000000</v>
      </c>
      <c r="I560" s="50"/>
      <c r="J560" s="26"/>
      <c r="K560" s="127"/>
      <c r="L560" s="127"/>
    </row>
    <row r="561" spans="1:17" s="8" customFormat="1">
      <c r="A561" s="98"/>
      <c r="B561" s="66"/>
      <c r="C561" s="20"/>
      <c r="D561" s="25" t="s">
        <v>148</v>
      </c>
      <c r="E561" s="346" t="s">
        <v>188</v>
      </c>
      <c r="F561" s="266">
        <f>5000*H4</f>
        <v>7500000</v>
      </c>
      <c r="G561" s="315">
        <v>2</v>
      </c>
      <c r="H561" s="252">
        <f>+G561*F561</f>
        <v>15000000</v>
      </c>
      <c r="I561" s="50"/>
      <c r="J561" s="26"/>
      <c r="K561" s="127"/>
      <c r="L561" s="127"/>
    </row>
    <row r="562" spans="1:17" s="8" customFormat="1">
      <c r="A562" s="98"/>
      <c r="B562" s="66"/>
      <c r="C562" s="20"/>
      <c r="D562" s="173" t="s">
        <v>294</v>
      </c>
      <c r="E562" s="346" t="s">
        <v>188</v>
      </c>
      <c r="F562" s="283">
        <f>+' Tablas SAT, AAA &amp; Sutep'!U20</f>
        <v>5508783.8400000008</v>
      </c>
      <c r="G562" s="315">
        <v>2</v>
      </c>
      <c r="H562" s="252">
        <f>+G562*F562</f>
        <v>11017567.680000002</v>
      </c>
      <c r="I562" s="323"/>
      <c r="J562" s="26"/>
      <c r="K562" s="127"/>
      <c r="L562" s="127"/>
    </row>
    <row r="563" spans="1:17" s="8" customFormat="1">
      <c r="A563" s="98"/>
      <c r="B563" s="66"/>
      <c r="C563" s="20"/>
      <c r="D563" s="25" t="s">
        <v>203</v>
      </c>
      <c r="E563" s="346" t="s">
        <v>188</v>
      </c>
      <c r="F563" s="283"/>
      <c r="G563" s="442"/>
      <c r="H563" s="252">
        <f>SUM(H560:H562)</f>
        <v>50017567.68</v>
      </c>
      <c r="I563" s="50"/>
      <c r="J563" s="26"/>
      <c r="K563" s="127"/>
      <c r="L563" s="127"/>
    </row>
    <row r="564" spans="1:17" s="8" customFormat="1">
      <c r="A564" s="98"/>
      <c r="B564" s="66"/>
      <c r="C564" s="20"/>
      <c r="D564" s="25" t="s">
        <v>72</v>
      </c>
      <c r="E564" s="374" t="s">
        <v>20</v>
      </c>
      <c r="F564" s="284">
        <f>SUM(H560:H563)</f>
        <v>100035135.36</v>
      </c>
      <c r="G564" s="315">
        <v>1</v>
      </c>
      <c r="H564" s="252">
        <f>+F564*G564</f>
        <v>100035135.36</v>
      </c>
      <c r="I564" s="50"/>
      <c r="J564" s="26"/>
      <c r="K564" s="127"/>
      <c r="L564" s="127"/>
    </row>
    <row r="565" spans="1:17" s="8" customFormat="1">
      <c r="A565" s="98"/>
      <c r="B565" s="66"/>
      <c r="C565" s="20"/>
      <c r="D565" s="34" t="s">
        <v>126</v>
      </c>
      <c r="E565" s="352" t="s">
        <v>108</v>
      </c>
      <c r="F565" s="264"/>
      <c r="G565" s="434"/>
      <c r="H565" s="265">
        <f>H564*8.33%</f>
        <v>8332926.7754879994</v>
      </c>
      <c r="I565" s="51"/>
      <c r="J565" s="27"/>
      <c r="K565" s="127"/>
      <c r="L565" s="127"/>
    </row>
    <row r="566" spans="1:17" s="8" customFormat="1">
      <c r="A566" s="98"/>
      <c r="B566" s="66"/>
      <c r="C566" s="19"/>
      <c r="D566" s="34" t="s">
        <v>233</v>
      </c>
      <c r="E566" s="352" t="s">
        <v>108</v>
      </c>
      <c r="F566" s="264"/>
      <c r="G566" s="434"/>
      <c r="H566" s="265">
        <f>H564*7%</f>
        <v>7002459.4752000002</v>
      </c>
      <c r="I566" s="31">
        <v>0</v>
      </c>
      <c r="J566" s="31">
        <f>+H566+H564+H565</f>
        <v>115370521.610688</v>
      </c>
      <c r="K566" s="127"/>
      <c r="L566" s="127"/>
    </row>
    <row r="567" spans="1:17" s="24" customFormat="1" ht="15" customHeight="1">
      <c r="A567" s="104"/>
      <c r="B567" s="72"/>
      <c r="C567" s="20">
        <v>2</v>
      </c>
      <c r="D567" s="170" t="s">
        <v>295</v>
      </c>
      <c r="E567" s="373"/>
      <c r="F567" s="280"/>
      <c r="G567" s="441"/>
      <c r="H567" s="281"/>
      <c r="I567" s="49"/>
      <c r="J567" s="46"/>
      <c r="K567" s="127"/>
      <c r="L567" s="127"/>
    </row>
    <row r="568" spans="1:17" s="8" customFormat="1">
      <c r="A568" s="98"/>
      <c r="B568" s="66"/>
      <c r="C568" s="20"/>
      <c r="D568" s="205" t="s">
        <v>205</v>
      </c>
      <c r="E568" s="346" t="s">
        <v>108</v>
      </c>
      <c r="F568" s="327">
        <f>4000*H4</f>
        <v>6000000</v>
      </c>
      <c r="G568" s="443">
        <v>2</v>
      </c>
      <c r="H568" s="256">
        <f>+G568*F568</f>
        <v>12000000</v>
      </c>
      <c r="I568" s="323"/>
      <c r="J568" s="26"/>
      <c r="K568" s="127"/>
      <c r="L568" s="127"/>
    </row>
    <row r="569" spans="1:17" s="8" customFormat="1">
      <c r="A569" s="98"/>
      <c r="B569" s="66"/>
      <c r="D569" s="25" t="s">
        <v>206</v>
      </c>
      <c r="E569" s="346" t="s">
        <v>108</v>
      </c>
      <c r="F569" s="327">
        <f>2500*H4</f>
        <v>3750000</v>
      </c>
      <c r="G569" s="443">
        <v>2</v>
      </c>
      <c r="H569" s="256">
        <f>+G569*F569</f>
        <v>7500000</v>
      </c>
      <c r="I569" s="50"/>
      <c r="J569" s="26"/>
      <c r="K569" s="127"/>
      <c r="L569" s="127"/>
    </row>
    <row r="570" spans="1:17" s="8" customFormat="1">
      <c r="A570" s="98"/>
      <c r="B570" s="66"/>
      <c r="D570" s="25"/>
      <c r="E570" s="346" t="s">
        <v>108</v>
      </c>
      <c r="F570" s="285"/>
      <c r="G570" s="444"/>
      <c r="H570" s="286">
        <f>SUM(H568:H569)</f>
        <v>19500000</v>
      </c>
      <c r="I570" s="50"/>
      <c r="J570" s="26"/>
      <c r="K570" s="127"/>
      <c r="L570" s="127"/>
    </row>
    <row r="571" spans="1:17" s="8" customFormat="1">
      <c r="A571" s="98"/>
      <c r="B571" s="66"/>
      <c r="D571" s="34" t="s">
        <v>126</v>
      </c>
      <c r="E571" s="352" t="s">
        <v>108</v>
      </c>
      <c r="F571" s="264"/>
      <c r="G571" s="434"/>
      <c r="H571" s="265">
        <f>H570*8.33%</f>
        <v>1624350</v>
      </c>
      <c r="I571" s="50"/>
      <c r="J571" s="26"/>
      <c r="K571" s="127"/>
      <c r="L571" s="127"/>
    </row>
    <row r="572" spans="1:17" s="8" customFormat="1">
      <c r="A572" s="98"/>
      <c r="B572" s="66"/>
      <c r="C572" s="17"/>
      <c r="D572" s="34" t="s">
        <v>233</v>
      </c>
      <c r="E572" s="352" t="s">
        <v>108</v>
      </c>
      <c r="F572" s="264"/>
      <c r="G572" s="434"/>
      <c r="H572" s="265">
        <f>H570*7%</f>
        <v>1365000.0000000002</v>
      </c>
      <c r="I572" s="31">
        <v>0</v>
      </c>
      <c r="J572" s="31">
        <f>H572+H571+H570</f>
        <v>22489350</v>
      </c>
      <c r="K572" s="127"/>
      <c r="L572" s="127"/>
    </row>
    <row r="573" spans="1:17" s="24" customFormat="1" ht="15" customHeight="1" thickBot="1">
      <c r="A573" s="104"/>
      <c r="B573" s="72"/>
      <c r="C573" s="121">
        <v>5</v>
      </c>
      <c r="D573" s="170" t="s">
        <v>237</v>
      </c>
      <c r="E573" s="373"/>
      <c r="F573" s="280"/>
      <c r="G573" s="441"/>
      <c r="H573" s="281"/>
      <c r="I573" s="49"/>
      <c r="J573" s="46"/>
      <c r="K573" s="127"/>
      <c r="L573" s="127"/>
    </row>
    <row r="574" spans="1:17" s="29" customFormat="1">
      <c r="A574" s="103"/>
      <c r="B574" s="71"/>
      <c r="C574" s="20"/>
      <c r="D574" s="25" t="s">
        <v>207</v>
      </c>
      <c r="E574" s="349" t="s">
        <v>149</v>
      </c>
      <c r="F574" s="283">
        <f>+' Tablas SAT, AAA &amp; Sutep'!U23</f>
        <v>324769.76</v>
      </c>
      <c r="G574" s="442">
        <v>6</v>
      </c>
      <c r="H574" s="283"/>
      <c r="I574" s="323"/>
      <c r="J574" s="26"/>
      <c r="K574" s="127"/>
      <c r="L574" s="127"/>
      <c r="M574" s="225" t="s">
        <v>349</v>
      </c>
      <c r="O574" s="24"/>
      <c r="P574" s="24"/>
      <c r="Q574" s="24"/>
    </row>
    <row r="575" spans="1:17" s="500" customFormat="1">
      <c r="B575" s="501"/>
      <c r="C575" s="502"/>
      <c r="D575" s="153" t="s">
        <v>208</v>
      </c>
      <c r="E575" s="402" t="s">
        <v>149</v>
      </c>
      <c r="F575" s="266">
        <f>M575*3</f>
        <v>194728.80000000002</v>
      </c>
      <c r="G575" s="435">
        <v>6</v>
      </c>
      <c r="H575" s="266"/>
      <c r="I575" s="503"/>
      <c r="J575" s="504"/>
      <c r="K575" s="405"/>
      <c r="L575" s="405"/>
      <c r="M575" s="505">
        <f>57955*1.12</f>
        <v>64909.600000000006</v>
      </c>
      <c r="N575" s="506" t="s">
        <v>351</v>
      </c>
      <c r="O575" s="507"/>
      <c r="P575" s="507"/>
      <c r="Q575" s="507"/>
    </row>
    <row r="576" spans="1:17" s="29" customFormat="1">
      <c r="A576" s="103"/>
      <c r="B576" s="71"/>
      <c r="C576" s="20"/>
      <c r="D576" s="25" t="s">
        <v>209</v>
      </c>
      <c r="E576" s="346" t="s">
        <v>149</v>
      </c>
      <c r="F576" s="283">
        <f>SUM(F574:F575)</f>
        <v>519498.56000000006</v>
      </c>
      <c r="G576" s="442">
        <v>1</v>
      </c>
      <c r="H576" s="283">
        <f>+G576*F576</f>
        <v>519498.56000000006</v>
      </c>
      <c r="I576" s="50"/>
      <c r="J576" s="26"/>
      <c r="K576" s="127"/>
      <c r="L576" s="127"/>
      <c r="N576" s="226" t="s">
        <v>352</v>
      </c>
      <c r="O576" s="24"/>
      <c r="P576" s="24"/>
      <c r="Q576" s="24"/>
    </row>
    <row r="577" spans="1:12" s="29" customFormat="1">
      <c r="A577" s="103"/>
      <c r="B577" s="71"/>
      <c r="C577" s="20"/>
      <c r="D577" s="205" t="s">
        <v>279</v>
      </c>
      <c r="E577" s="374" t="s">
        <v>108</v>
      </c>
      <c r="F577" s="284">
        <f>F576</f>
        <v>519498.56000000006</v>
      </c>
      <c r="G577" s="499">
        <f>(F577)*5</f>
        <v>2597492.8000000003</v>
      </c>
      <c r="H577" s="252">
        <f>G577*40</f>
        <v>103899712.00000001</v>
      </c>
      <c r="I577" s="50"/>
      <c r="J577" s="26"/>
      <c r="K577" s="127"/>
      <c r="L577" s="127"/>
    </row>
    <row r="578" spans="1:12" s="29" customFormat="1">
      <c r="A578" s="103"/>
      <c r="B578" s="71"/>
      <c r="C578" s="20"/>
      <c r="D578" s="34" t="s">
        <v>126</v>
      </c>
      <c r="E578" s="352" t="s">
        <v>108</v>
      </c>
      <c r="F578" s="264"/>
      <c r="G578" s="434"/>
      <c r="H578" s="265">
        <f>H577*8.33%</f>
        <v>8654846.0096000005</v>
      </c>
      <c r="I578" s="50"/>
      <c r="J578" s="26"/>
      <c r="K578" s="127"/>
      <c r="L578" s="127"/>
    </row>
    <row r="579" spans="1:12" s="8" customFormat="1">
      <c r="A579" s="98"/>
      <c r="B579" s="66"/>
      <c r="C579" s="17"/>
      <c r="D579" s="34" t="s">
        <v>233</v>
      </c>
      <c r="E579" s="352" t="s">
        <v>108</v>
      </c>
      <c r="F579" s="264"/>
      <c r="G579" s="434"/>
      <c r="H579" s="265">
        <f>H577*7%</f>
        <v>7272979.8400000017</v>
      </c>
      <c r="I579" s="31">
        <v>0</v>
      </c>
      <c r="J579" s="31">
        <f>H579+H578+H577</f>
        <v>119827537.84960002</v>
      </c>
      <c r="K579" s="127"/>
      <c r="L579" s="127"/>
    </row>
    <row r="580" spans="1:12" s="24" customFormat="1" ht="15" customHeight="1">
      <c r="A580" s="104"/>
      <c r="B580" s="72"/>
      <c r="C580" s="122">
        <f>10*13</f>
        <v>130</v>
      </c>
      <c r="D580" s="166" t="s">
        <v>242</v>
      </c>
      <c r="E580" s="373"/>
      <c r="F580" s="280"/>
      <c r="G580" s="441"/>
      <c r="H580" s="281"/>
      <c r="I580" s="49"/>
      <c r="J580" s="46"/>
      <c r="K580" s="127"/>
      <c r="L580" s="127"/>
    </row>
    <row r="581" spans="1:12" s="29" customFormat="1">
      <c r="A581" s="103"/>
      <c r="B581" s="71"/>
      <c r="C581" s="123"/>
      <c r="D581" s="205" t="s">
        <v>385</v>
      </c>
      <c r="E581" s="375"/>
      <c r="F581" s="287"/>
      <c r="G581" s="446"/>
      <c r="H581" s="288"/>
      <c r="I581" s="50"/>
      <c r="J581" s="26"/>
      <c r="K581" s="127"/>
      <c r="L581" s="127"/>
    </row>
    <row r="582" spans="1:12" s="29" customFormat="1">
      <c r="A582" s="103"/>
      <c r="B582" s="71"/>
      <c r="C582" s="123"/>
      <c r="D582" s="25" t="s">
        <v>230</v>
      </c>
      <c r="E582" s="376" t="s">
        <v>149</v>
      </c>
      <c r="F582" s="266">
        <f>+' Tablas SAT, AAA &amp; Sutep'!U25</f>
        <v>50186.080000000002</v>
      </c>
      <c r="G582" s="442">
        <v>0</v>
      </c>
      <c r="H582" s="283">
        <f>F582*$C$580</f>
        <v>6524190.4000000004</v>
      </c>
      <c r="I582" s="50"/>
      <c r="J582" s="26"/>
      <c r="K582" s="127"/>
      <c r="L582" s="127"/>
    </row>
    <row r="583" spans="1:12" s="29" customFormat="1">
      <c r="A583" s="103"/>
      <c r="B583" s="71"/>
      <c r="C583" s="123"/>
      <c r="D583" s="25" t="s">
        <v>113</v>
      </c>
      <c r="E583" s="376" t="s">
        <v>149</v>
      </c>
      <c r="F583" s="266">
        <f>F582*25%*3</f>
        <v>37639.56</v>
      </c>
      <c r="G583" s="442">
        <v>0</v>
      </c>
      <c r="H583" s="283">
        <f>F583*$C$580</f>
        <v>4893142.8</v>
      </c>
      <c r="I583" s="50"/>
      <c r="J583" s="26"/>
      <c r="K583" s="127"/>
      <c r="L583" s="127"/>
    </row>
    <row r="584" spans="1:12" s="29" customFormat="1">
      <c r="A584" s="103"/>
      <c r="B584" s="71"/>
      <c r="C584" s="123"/>
      <c r="D584" s="173" t="s">
        <v>280</v>
      </c>
      <c r="E584" s="377" t="s">
        <v>149</v>
      </c>
      <c r="F584" s="320">
        <f>F582*15%</f>
        <v>7527.9120000000003</v>
      </c>
      <c r="G584" s="445">
        <v>0</v>
      </c>
      <c r="H584" s="283">
        <f>F584*$C$580</f>
        <v>978628.56</v>
      </c>
      <c r="I584" s="50"/>
      <c r="J584" s="26"/>
      <c r="K584" s="127"/>
      <c r="L584" s="127"/>
    </row>
    <row r="585" spans="1:12" s="29" customFormat="1">
      <c r="A585" s="103"/>
      <c r="B585" s="71"/>
      <c r="C585" s="123"/>
      <c r="D585" s="205" t="s">
        <v>386</v>
      </c>
      <c r="E585" s="376" t="s">
        <v>72</v>
      </c>
      <c r="F585" s="266">
        <f>SUM(F582:F584)</f>
        <v>95353.551999999996</v>
      </c>
      <c r="G585" s="442">
        <v>0</v>
      </c>
      <c r="H585" s="283">
        <f>+G585*F585</f>
        <v>0</v>
      </c>
      <c r="I585" s="50"/>
      <c r="J585" s="26"/>
      <c r="K585" s="127"/>
      <c r="L585" s="127"/>
    </row>
    <row r="586" spans="1:12" s="29" customFormat="1">
      <c r="A586" s="103"/>
      <c r="B586" s="71"/>
      <c r="C586" s="123"/>
      <c r="D586" s="174" t="s">
        <v>243</v>
      </c>
      <c r="E586" s="376" t="s">
        <v>72</v>
      </c>
      <c r="F586" s="266">
        <f>F585</f>
        <v>95353.551999999996</v>
      </c>
      <c r="G586" s="442">
        <f>(5*6)*10</f>
        <v>300</v>
      </c>
      <c r="H586" s="283">
        <f>+F586*G586</f>
        <v>28606065.599999998</v>
      </c>
      <c r="I586" s="31">
        <v>0</v>
      </c>
      <c r="J586" s="31">
        <f>H586</f>
        <v>28606065.599999998</v>
      </c>
      <c r="K586" s="127"/>
      <c r="L586" s="127"/>
    </row>
    <row r="587" spans="1:12" s="13" customFormat="1" ht="15" customHeight="1">
      <c r="A587" s="102"/>
      <c r="B587" s="67"/>
      <c r="C587" s="57">
        <f>SUM(C554:C586)</f>
        <v>144</v>
      </c>
      <c r="D587" s="41"/>
      <c r="E587" s="347"/>
      <c r="F587" s="594" t="s">
        <v>53</v>
      </c>
      <c r="G587" s="595" t="s">
        <v>91</v>
      </c>
      <c r="H587" s="255">
        <f>SUM(J554:J586)</f>
        <v>299000035.86563206</v>
      </c>
      <c r="I587" s="119">
        <f>SUM(I559:I586)</f>
        <v>0</v>
      </c>
      <c r="K587" s="127"/>
      <c r="L587" s="127"/>
    </row>
    <row r="588" spans="1:12" ht="17.25" customHeight="1">
      <c r="A588" s="98"/>
      <c r="B588" s="63"/>
      <c r="D588" s="171"/>
      <c r="H588" s="290"/>
      <c r="J588" s="119">
        <f>SUM(J554:J586)</f>
        <v>299000035.86563206</v>
      </c>
      <c r="K588" s="127"/>
      <c r="L588" s="127"/>
    </row>
    <row r="589" spans="1:12" s="13" customFormat="1" ht="15" customHeight="1">
      <c r="A589" s="102"/>
      <c r="B589" s="69"/>
      <c r="C589" s="110">
        <v>6</v>
      </c>
      <c r="D589" s="169" t="s">
        <v>238</v>
      </c>
      <c r="E589" s="344" t="s">
        <v>73</v>
      </c>
      <c r="F589" s="249" t="s">
        <v>38</v>
      </c>
      <c r="G589" s="413" t="s">
        <v>39</v>
      </c>
      <c r="H589" s="250" t="s">
        <v>52</v>
      </c>
      <c r="I589" s="118" t="s">
        <v>54</v>
      </c>
      <c r="J589" s="118" t="s">
        <v>118</v>
      </c>
      <c r="K589" s="127"/>
      <c r="L589" s="127"/>
    </row>
    <row r="590" spans="1:12" ht="15" customHeight="1">
      <c r="A590" s="98"/>
      <c r="B590" s="66"/>
      <c r="C590" s="17"/>
      <c r="D590" s="175" t="s">
        <v>244</v>
      </c>
      <c r="E590" s="379">
        <v>0.28999999999999998</v>
      </c>
      <c r="F590" s="291">
        <f>+J566+J572+J579+J558-H557-H566-H572-H579</f>
        <v>253982301.212832</v>
      </c>
      <c r="G590" s="316">
        <v>1</v>
      </c>
      <c r="H590" s="252">
        <f>E590*F590*G590</f>
        <v>73654867.351721272</v>
      </c>
      <c r="I590" s="47">
        <v>0</v>
      </c>
      <c r="J590" s="47">
        <f>H590+I590</f>
        <v>73654867.351721272</v>
      </c>
      <c r="K590" s="127"/>
      <c r="L590" s="127"/>
    </row>
    <row r="591" spans="1:12" ht="15" customHeight="1">
      <c r="A591" s="98"/>
      <c r="B591" s="66"/>
      <c r="C591" s="17"/>
      <c r="D591" s="93" t="s">
        <v>150</v>
      </c>
      <c r="E591" s="379">
        <v>0.28000000000000003</v>
      </c>
      <c r="F591" s="291">
        <f>+H551-H545-H546-H509-H498*2-H487-H473*2-H462-H451-H440-H429-H418-H407-H396-H385-H374-H363-H352-H341-H330-H319-H297-H286-H275-H253*2-H242*2-H231-H220-H209-H198-H187-H176-H165*2-H154-H140-H129-H118-H107-H264-H522-H533-H308*2</f>
        <v>623736648.06139338</v>
      </c>
      <c r="G591" s="316">
        <v>1</v>
      </c>
      <c r="H591" s="252">
        <f>E591*F591*G591</f>
        <v>174646261.45719016</v>
      </c>
      <c r="I591" s="47">
        <v>0</v>
      </c>
      <c r="J591" s="47">
        <f>H591+I591</f>
        <v>174646261.45719016</v>
      </c>
      <c r="K591" s="127"/>
      <c r="L591" s="127"/>
    </row>
    <row r="592" spans="1:12" ht="15" customHeight="1">
      <c r="A592" s="98"/>
      <c r="B592" s="66"/>
      <c r="C592" s="17"/>
      <c r="D592" s="93" t="s">
        <v>56</v>
      </c>
      <c r="E592" s="379"/>
      <c r="F592" s="291">
        <v>0</v>
      </c>
      <c r="G592" s="316">
        <v>1</v>
      </c>
      <c r="H592" s="252">
        <f>E592*F592*G592</f>
        <v>0</v>
      </c>
      <c r="I592" s="47">
        <v>0</v>
      </c>
      <c r="J592" s="47">
        <f>H592+I592</f>
        <v>0</v>
      </c>
      <c r="K592" s="127"/>
      <c r="L592" s="127"/>
    </row>
    <row r="593" spans="1:15" ht="15" customHeight="1">
      <c r="A593" s="98"/>
      <c r="B593" s="66"/>
      <c r="C593" s="17"/>
      <c r="D593" s="94" t="s">
        <v>8</v>
      </c>
      <c r="E593" s="379">
        <v>0.15</v>
      </c>
      <c r="F593" s="291">
        <f>+H586</f>
        <v>28606065.599999998</v>
      </c>
      <c r="G593" s="316">
        <v>1</v>
      </c>
      <c r="H593" s="252">
        <f>E593*F593*G593</f>
        <v>4290909.84</v>
      </c>
      <c r="I593" s="47">
        <v>0</v>
      </c>
      <c r="J593" s="47">
        <f>H593+I593</f>
        <v>4290909.84</v>
      </c>
      <c r="K593" s="127"/>
      <c r="L593" s="127"/>
    </row>
    <row r="594" spans="1:15" s="13" customFormat="1" ht="15" customHeight="1">
      <c r="A594" s="102"/>
      <c r="B594" s="67"/>
      <c r="C594" s="42">
        <f>SUM(C590:C593)</f>
        <v>0</v>
      </c>
      <c r="D594" s="41"/>
      <c r="E594" s="347"/>
      <c r="F594" s="594" t="s">
        <v>44</v>
      </c>
      <c r="G594" s="595" t="s">
        <v>91</v>
      </c>
      <c r="H594" s="255">
        <f>SUM(H590:H593)</f>
        <v>252592038.64891145</v>
      </c>
      <c r="I594" s="119">
        <f>SUM(I590:I593)</f>
        <v>0</v>
      </c>
      <c r="J594" s="119">
        <f>SUM(J590:J593)</f>
        <v>252592038.64891145</v>
      </c>
      <c r="K594" s="127"/>
      <c r="L594" s="127"/>
    </row>
    <row r="595" spans="1:15" ht="30" customHeight="1">
      <c r="A595" s="98"/>
      <c r="B595" s="63"/>
      <c r="D595" s="2"/>
      <c r="E595" s="343"/>
      <c r="F595" s="247"/>
      <c r="G595" s="431"/>
      <c r="H595" s="248"/>
      <c r="I595" s="12"/>
      <c r="J595" s="12"/>
      <c r="K595" s="127"/>
      <c r="L595" s="127"/>
    </row>
    <row r="596" spans="1:15" s="13" customFormat="1" ht="15" customHeight="1">
      <c r="A596" s="102"/>
      <c r="B596" s="69"/>
      <c r="C596" s="110">
        <v>7</v>
      </c>
      <c r="D596" s="186" t="s">
        <v>254</v>
      </c>
      <c r="E596" s="344" t="s">
        <v>73</v>
      </c>
      <c r="F596" s="249" t="s">
        <v>38</v>
      </c>
      <c r="G596" s="413" t="s">
        <v>39</v>
      </c>
      <c r="H596" s="250" t="s">
        <v>52</v>
      </c>
      <c r="I596" s="118" t="s">
        <v>54</v>
      </c>
      <c r="J596" s="118" t="s">
        <v>118</v>
      </c>
      <c r="K596" s="127"/>
      <c r="L596" s="127"/>
    </row>
    <row r="597" spans="1:15" s="24" customFormat="1" ht="15" customHeight="1">
      <c r="A597" s="104"/>
      <c r="B597" s="72"/>
      <c r="C597" s="23"/>
      <c r="D597" s="92" t="s">
        <v>348</v>
      </c>
      <c r="E597" s="380"/>
      <c r="F597" s="293"/>
      <c r="G597" s="448"/>
      <c r="H597" s="252"/>
      <c r="I597" s="55"/>
      <c r="J597" s="30"/>
      <c r="K597" s="127"/>
      <c r="L597" s="127"/>
    </row>
    <row r="598" spans="1:15" s="8" customFormat="1" ht="15" customHeight="1">
      <c r="A598" s="98"/>
      <c r="B598" s="63"/>
      <c r="C598" s="17"/>
      <c r="D598" s="25"/>
      <c r="E598" s="346" t="s">
        <v>160</v>
      </c>
      <c r="F598" s="264">
        <f>27000000*1.42</f>
        <v>38340000</v>
      </c>
      <c r="G598" s="315">
        <v>1</v>
      </c>
      <c r="H598" s="252">
        <f>G598*F598</f>
        <v>38340000</v>
      </c>
      <c r="I598" s="28">
        <f>H598*21%</f>
        <v>8051400</v>
      </c>
      <c r="J598" s="28">
        <f>H598+I598</f>
        <v>46391400</v>
      </c>
      <c r="K598" s="127"/>
      <c r="L598" s="127"/>
      <c r="O598" s="224"/>
    </row>
    <row r="599" spans="1:15" s="24" customFormat="1" ht="15" customHeight="1">
      <c r="A599" s="104"/>
      <c r="B599" s="72"/>
      <c r="C599" s="23"/>
      <c r="D599" s="92" t="s">
        <v>162</v>
      </c>
      <c r="E599" s="380"/>
      <c r="F599" s="293"/>
      <c r="G599" s="448"/>
      <c r="H599" s="252"/>
      <c r="I599" s="55"/>
      <c r="J599" s="30"/>
      <c r="K599" s="127"/>
      <c r="L599" s="127"/>
    </row>
    <row r="600" spans="1:15" s="8" customFormat="1" ht="15" customHeight="1">
      <c r="A600" s="98"/>
      <c r="B600" s="63"/>
      <c r="C600" s="17"/>
      <c r="D600" s="25"/>
      <c r="E600" s="346" t="s">
        <v>160</v>
      </c>
      <c r="F600" s="264">
        <f>840000*1.44*1.42</f>
        <v>1717632</v>
      </c>
      <c r="G600" s="315">
        <v>1</v>
      </c>
      <c r="H600" s="252">
        <f>G600*F600</f>
        <v>1717632</v>
      </c>
      <c r="I600" s="28">
        <f>H600*21%</f>
        <v>360702.71999999997</v>
      </c>
      <c r="J600" s="28">
        <f>H600+I600</f>
        <v>2078334.72</v>
      </c>
      <c r="K600" s="127"/>
      <c r="L600" s="127"/>
      <c r="O600" s="224"/>
    </row>
    <row r="601" spans="1:15" s="24" customFormat="1" ht="15" customHeight="1">
      <c r="A601" s="104"/>
      <c r="B601" s="72"/>
      <c r="C601" s="23"/>
      <c r="D601" s="92" t="s">
        <v>85</v>
      </c>
      <c r="E601" s="380"/>
      <c r="F601" s="293"/>
      <c r="G601" s="448"/>
      <c r="H601" s="252"/>
      <c r="I601" s="55"/>
      <c r="J601" s="30"/>
      <c r="K601" s="127"/>
      <c r="L601" s="127"/>
    </row>
    <row r="602" spans="1:15" s="8" customFormat="1" ht="15" customHeight="1">
      <c r="A602" s="98"/>
      <c r="B602" s="63"/>
      <c r="C602" s="17"/>
      <c r="D602" s="25"/>
      <c r="E602" s="346" t="s">
        <v>160</v>
      </c>
      <c r="F602" s="264">
        <f>1500000*1.42</f>
        <v>2130000</v>
      </c>
      <c r="G602" s="315">
        <v>1</v>
      </c>
      <c r="H602" s="252">
        <f>G602*F602</f>
        <v>2130000</v>
      </c>
      <c r="I602" s="28">
        <f>H602*21%</f>
        <v>447300</v>
      </c>
      <c r="J602" s="28">
        <f>H602+I602</f>
        <v>2577300</v>
      </c>
      <c r="K602" s="127"/>
      <c r="L602" s="127"/>
    </row>
    <row r="603" spans="1:15" s="24" customFormat="1" ht="15" customHeight="1">
      <c r="A603" s="104"/>
      <c r="B603" s="72"/>
      <c r="C603" s="23"/>
      <c r="D603" s="92" t="s">
        <v>21</v>
      </c>
      <c r="E603" s="380"/>
      <c r="F603" s="293"/>
      <c r="G603" s="448"/>
      <c r="H603" s="252"/>
      <c r="I603" s="55"/>
      <c r="J603" s="30"/>
      <c r="K603" s="127"/>
      <c r="L603" s="127"/>
    </row>
    <row r="604" spans="1:15" s="8" customFormat="1" ht="15" customHeight="1">
      <c r="A604" s="98"/>
      <c r="B604" s="63"/>
      <c r="C604" s="17"/>
      <c r="D604" s="1"/>
      <c r="E604" s="346" t="s">
        <v>160</v>
      </c>
      <c r="F604" s="264">
        <f>4000000*1.42</f>
        <v>5680000</v>
      </c>
      <c r="G604" s="315">
        <v>1</v>
      </c>
      <c r="H604" s="252">
        <f>+G604*F604</f>
        <v>5680000</v>
      </c>
      <c r="I604" s="28">
        <f>H604*21%</f>
        <v>1192800</v>
      </c>
      <c r="J604" s="31">
        <f>H604+I604</f>
        <v>6872800</v>
      </c>
      <c r="K604" s="127"/>
      <c r="L604" s="127"/>
    </row>
    <row r="605" spans="1:15" s="24" customFormat="1" ht="15" customHeight="1">
      <c r="A605" s="104"/>
      <c r="B605" s="72"/>
      <c r="C605" s="23"/>
      <c r="D605" s="92" t="s">
        <v>86</v>
      </c>
      <c r="E605" s="380"/>
      <c r="F605" s="293"/>
      <c r="G605" s="448"/>
      <c r="H605" s="252"/>
      <c r="I605" s="55"/>
      <c r="J605" s="30"/>
      <c r="K605" s="127"/>
      <c r="L605" s="127"/>
    </row>
    <row r="606" spans="1:15" s="8" customFormat="1" ht="15" customHeight="1">
      <c r="A606" s="98"/>
      <c r="B606" s="63"/>
      <c r="C606" s="17"/>
      <c r="D606" s="187" t="s">
        <v>59</v>
      </c>
      <c r="E606" s="381" t="s">
        <v>20</v>
      </c>
      <c r="F606" s="264">
        <f>250000*1.42</f>
        <v>355000</v>
      </c>
      <c r="G606" s="316">
        <v>2</v>
      </c>
      <c r="H606" s="292">
        <f>F606*G606</f>
        <v>710000</v>
      </c>
      <c r="I606" s="47">
        <f>+H606*21%</f>
        <v>149100</v>
      </c>
      <c r="J606" s="47">
        <f>H606+I606</f>
        <v>859100</v>
      </c>
      <c r="K606" s="127"/>
      <c r="L606" s="127"/>
    </row>
    <row r="607" spans="1:15" s="24" customFormat="1" ht="15" customHeight="1">
      <c r="A607" s="104"/>
      <c r="B607" s="72"/>
      <c r="C607" s="23"/>
      <c r="D607" s="170" t="s">
        <v>282</v>
      </c>
      <c r="E607" s="380"/>
      <c r="F607" s="293"/>
      <c r="G607" s="448"/>
      <c r="H607" s="252"/>
      <c r="I607" s="55"/>
      <c r="J607" s="30"/>
      <c r="K607" s="127"/>
      <c r="L607" s="127"/>
    </row>
    <row r="608" spans="1:15" s="8" customFormat="1" ht="15" customHeight="1">
      <c r="A608" s="98"/>
      <c r="B608" s="63"/>
      <c r="C608" s="17"/>
      <c r="D608" s="173" t="s">
        <v>245</v>
      </c>
      <c r="E608" s="351" t="s">
        <v>20</v>
      </c>
      <c r="F608" s="264">
        <f>800000*1.42</f>
        <v>1136000</v>
      </c>
      <c r="G608" s="315">
        <v>3</v>
      </c>
      <c r="H608" s="252">
        <f>F608*G608</f>
        <v>3408000</v>
      </c>
      <c r="I608" s="28">
        <f>H608*21%</f>
        <v>715680</v>
      </c>
      <c r="J608" s="28">
        <f>H608+I608</f>
        <v>4123680</v>
      </c>
      <c r="K608" s="127"/>
      <c r="L608" s="127"/>
    </row>
    <row r="609" spans="1:12" s="8" customFormat="1" ht="15" customHeight="1">
      <c r="A609" s="98"/>
      <c r="B609" s="63"/>
      <c r="C609" s="17"/>
      <c r="D609" s="33"/>
      <c r="E609" s="346" t="s">
        <v>160</v>
      </c>
      <c r="F609" s="254">
        <v>0</v>
      </c>
      <c r="G609" s="315">
        <v>1</v>
      </c>
      <c r="H609" s="252">
        <f>G609*F609</f>
        <v>0</v>
      </c>
      <c r="I609" s="28">
        <f>H609*21%</f>
        <v>0</v>
      </c>
      <c r="J609" s="28">
        <f>H609+I609</f>
        <v>0</v>
      </c>
      <c r="K609" s="127"/>
      <c r="L609" s="127"/>
    </row>
    <row r="610" spans="1:12" s="13" customFormat="1" ht="15" customHeight="1">
      <c r="A610" s="102"/>
      <c r="B610" s="67"/>
      <c r="C610" s="42">
        <f>SUM(C597:C609)</f>
        <v>0</v>
      </c>
      <c r="D610" s="41"/>
      <c r="E610" s="347"/>
      <c r="F610" s="594" t="s">
        <v>76</v>
      </c>
      <c r="G610" s="595"/>
      <c r="H610" s="255">
        <f>SUM(H597:H609)</f>
        <v>51985632</v>
      </c>
      <c r="I610" s="119">
        <f>SUM(I597:I609)</f>
        <v>10916982.720000001</v>
      </c>
      <c r="J610" s="119">
        <f>SUM(J597:J609)</f>
        <v>62902614.719999999</v>
      </c>
      <c r="K610" s="127"/>
      <c r="L610" s="127"/>
    </row>
    <row r="611" spans="1:12" ht="30" customHeight="1">
      <c r="A611" s="98"/>
      <c r="B611" s="63"/>
      <c r="D611" s="2"/>
      <c r="E611" s="343"/>
      <c r="F611" s="247"/>
      <c r="G611" s="431"/>
      <c r="H611" s="248"/>
      <c r="I611" s="12"/>
      <c r="J611" s="12"/>
      <c r="K611" s="127"/>
      <c r="L611" s="127"/>
    </row>
    <row r="612" spans="1:12" s="13" customFormat="1" ht="15" customHeight="1">
      <c r="A612" s="102"/>
      <c r="B612" s="69"/>
      <c r="C612" s="110">
        <v>8</v>
      </c>
      <c r="D612" s="113" t="s">
        <v>90</v>
      </c>
      <c r="E612" s="344" t="s">
        <v>73</v>
      </c>
      <c r="F612" s="249" t="s">
        <v>38</v>
      </c>
      <c r="G612" s="413" t="s">
        <v>39</v>
      </c>
      <c r="H612" s="250" t="s">
        <v>52</v>
      </c>
      <c r="I612" s="118" t="s">
        <v>54</v>
      </c>
      <c r="J612" s="118" t="s">
        <v>118</v>
      </c>
      <c r="K612" s="127"/>
      <c r="L612" s="127"/>
    </row>
    <row r="613" spans="1:12" s="8" customFormat="1" ht="15" customHeight="1">
      <c r="A613" s="98"/>
      <c r="B613" s="63"/>
      <c r="C613" s="18"/>
      <c r="D613" s="89" t="s">
        <v>50</v>
      </c>
      <c r="E613" s="346" t="s">
        <v>160</v>
      </c>
      <c r="F613" s="264">
        <f>4200000*1.42</f>
        <v>5964000</v>
      </c>
      <c r="G613" s="315">
        <v>1</v>
      </c>
      <c r="H613" s="252">
        <f>G613*F613</f>
        <v>5964000</v>
      </c>
      <c r="I613" s="28">
        <f>H613*21%</f>
        <v>1252440</v>
      </c>
      <c r="J613" s="28">
        <f>H613+I613</f>
        <v>7216440</v>
      </c>
      <c r="K613" s="127"/>
      <c r="L613" s="127"/>
    </row>
    <row r="614" spans="1:12" s="8" customFormat="1" ht="15" customHeight="1">
      <c r="A614" s="98"/>
      <c r="B614" s="63"/>
      <c r="C614" s="18"/>
      <c r="D614" s="89" t="s">
        <v>22</v>
      </c>
      <c r="E614" s="346" t="s">
        <v>108</v>
      </c>
      <c r="F614" s="264">
        <f>1500000*1.42</f>
        <v>2130000</v>
      </c>
      <c r="G614" s="315">
        <v>1</v>
      </c>
      <c r="H614" s="252">
        <f>G614*F614</f>
        <v>2130000</v>
      </c>
      <c r="I614" s="28">
        <v>0</v>
      </c>
      <c r="J614" s="28">
        <f>H614+I614</f>
        <v>2130000</v>
      </c>
      <c r="K614" s="127"/>
      <c r="L614" s="127"/>
    </row>
    <row r="615" spans="1:12" s="24" customFormat="1" ht="15" customHeight="1">
      <c r="A615" s="104"/>
      <c r="B615" s="72"/>
      <c r="C615" s="23"/>
      <c r="D615" s="92" t="s">
        <v>189</v>
      </c>
      <c r="E615" s="380"/>
      <c r="F615" s="293"/>
      <c r="G615" s="448"/>
      <c r="H615" s="252"/>
      <c r="I615" s="55"/>
      <c r="J615" s="30"/>
      <c r="K615" s="127"/>
      <c r="L615" s="127"/>
    </row>
    <row r="616" spans="1:12" s="8" customFormat="1" ht="15">
      <c r="A616" s="98"/>
      <c r="B616" s="63"/>
      <c r="C616" s="18"/>
      <c r="D616" s="25" t="s">
        <v>187</v>
      </c>
      <c r="E616" s="349" t="s">
        <v>188</v>
      </c>
      <c r="F616" s="254">
        <v>0</v>
      </c>
      <c r="G616" s="315">
        <v>2</v>
      </c>
      <c r="H616" s="252">
        <f>+G616*F616</f>
        <v>0</v>
      </c>
      <c r="I616" s="28">
        <f>+H616*21%</f>
        <v>0</v>
      </c>
      <c r="J616" s="28">
        <f>H616+I616</f>
        <v>0</v>
      </c>
      <c r="K616" s="127"/>
      <c r="L616" s="127"/>
    </row>
    <row r="617" spans="1:12" s="8" customFormat="1" ht="15">
      <c r="A617" s="98"/>
      <c r="B617" s="63"/>
      <c r="C617" s="18"/>
      <c r="D617" s="173" t="s">
        <v>246</v>
      </c>
      <c r="E617" s="349" t="s">
        <v>188</v>
      </c>
      <c r="F617" s="254">
        <v>0</v>
      </c>
      <c r="G617" s="315">
        <v>2</v>
      </c>
      <c r="H617" s="252">
        <f>+G617*F617</f>
        <v>0</v>
      </c>
      <c r="I617" s="28">
        <f>+H617*21%</f>
        <v>0</v>
      </c>
      <c r="J617" s="28">
        <f>H617+I617</f>
        <v>0</v>
      </c>
      <c r="K617" s="127"/>
      <c r="L617" s="127"/>
    </row>
    <row r="618" spans="1:12" s="8" customFormat="1" ht="15" customHeight="1">
      <c r="A618" s="98"/>
      <c r="B618" s="63"/>
      <c r="C618" s="18"/>
      <c r="D618" s="89" t="s">
        <v>116</v>
      </c>
      <c r="E618" s="359" t="s">
        <v>40</v>
      </c>
      <c r="F618" s="264">
        <f>500000*1.42</f>
        <v>710000</v>
      </c>
      <c r="G618" s="315">
        <v>1</v>
      </c>
      <c r="H618" s="252">
        <f>G618*F618</f>
        <v>710000</v>
      </c>
      <c r="I618" s="28">
        <f>+H618*21%</f>
        <v>149100</v>
      </c>
      <c r="J618" s="28">
        <f>H618+I618</f>
        <v>859100</v>
      </c>
      <c r="K618" s="127"/>
      <c r="L618" s="127"/>
    </row>
    <row r="619" spans="1:12" s="13" customFormat="1" ht="15" customHeight="1">
      <c r="A619" s="102"/>
      <c r="B619" s="67"/>
      <c r="C619" s="42">
        <f>SUM(C613:C618)</f>
        <v>0</v>
      </c>
      <c r="D619" s="41"/>
      <c r="E619" s="347"/>
      <c r="F619" s="594" t="s">
        <v>96</v>
      </c>
      <c r="G619" s="595"/>
      <c r="H619" s="255">
        <f>SUM(H613:H618)</f>
        <v>8804000</v>
      </c>
      <c r="I619" s="119">
        <f>SUM(I613:I618)</f>
        <v>1401540</v>
      </c>
      <c r="J619" s="119">
        <f>SUM(J613:J618)</f>
        <v>10205540</v>
      </c>
      <c r="K619" s="127"/>
      <c r="L619" s="127"/>
    </row>
    <row r="620" spans="1:12" ht="30" customHeight="1">
      <c r="A620" s="98"/>
      <c r="B620" s="63"/>
      <c r="D620" s="2"/>
      <c r="E620" s="343"/>
      <c r="F620" s="247"/>
      <c r="G620" s="431"/>
      <c r="H620" s="248"/>
      <c r="I620" s="12"/>
      <c r="J620" s="12"/>
      <c r="K620" s="127"/>
      <c r="L620" s="127"/>
    </row>
    <row r="621" spans="1:12" s="13" customFormat="1" ht="15" customHeight="1">
      <c r="A621" s="102"/>
      <c r="B621" s="69"/>
      <c r="C621" s="110">
        <v>9</v>
      </c>
      <c r="D621" s="113" t="s">
        <v>159</v>
      </c>
      <c r="E621" s="344" t="s">
        <v>73</v>
      </c>
      <c r="F621" s="249" t="s">
        <v>38</v>
      </c>
      <c r="G621" s="413" t="s">
        <v>39</v>
      </c>
      <c r="H621" s="250" t="s">
        <v>52</v>
      </c>
      <c r="I621" s="118" t="s">
        <v>54</v>
      </c>
      <c r="J621" s="118" t="s">
        <v>118</v>
      </c>
      <c r="K621" s="127"/>
      <c r="L621" s="127"/>
    </row>
    <row r="622" spans="1:12" s="399" customFormat="1" ht="15" customHeight="1">
      <c r="B622" s="508"/>
      <c r="C622" s="401"/>
      <c r="D622" s="411" t="s">
        <v>165</v>
      </c>
      <c r="E622" s="402" t="s">
        <v>161</v>
      </c>
      <c r="F622" s="264">
        <f>2300000*1.42</f>
        <v>3266000</v>
      </c>
      <c r="G622" s="434">
        <v>6</v>
      </c>
      <c r="H622" s="265">
        <f>F622*G622</f>
        <v>19596000</v>
      </c>
      <c r="I622" s="509">
        <f>H622*21%</f>
        <v>4115160</v>
      </c>
      <c r="J622" s="509">
        <f>H622+I622</f>
        <v>23711160</v>
      </c>
      <c r="K622" s="405"/>
      <c r="L622" s="405"/>
    </row>
    <row r="623" spans="1:12" s="399" customFormat="1" ht="15" customHeight="1">
      <c r="B623" s="508"/>
      <c r="C623" s="401"/>
      <c r="D623" s="411" t="s">
        <v>21</v>
      </c>
      <c r="E623" s="402" t="s">
        <v>161</v>
      </c>
      <c r="F623" s="264">
        <f>1400000*1.42</f>
        <v>1988000</v>
      </c>
      <c r="G623" s="434">
        <v>6</v>
      </c>
      <c r="H623" s="265">
        <f>F623*G623</f>
        <v>11928000</v>
      </c>
      <c r="I623" s="509">
        <f>H623*21%</f>
        <v>2504880</v>
      </c>
      <c r="J623" s="509">
        <f>H623+I623</f>
        <v>14432880</v>
      </c>
      <c r="K623" s="405"/>
      <c r="L623" s="405"/>
    </row>
    <row r="624" spans="1:12" s="399" customFormat="1" ht="15" customHeight="1">
      <c r="B624" s="508"/>
      <c r="C624" s="401"/>
      <c r="D624" s="510" t="s">
        <v>166</v>
      </c>
      <c r="E624" s="402" t="s">
        <v>161</v>
      </c>
      <c r="F624" s="264">
        <v>0</v>
      </c>
      <c r="G624" s="434">
        <v>6</v>
      </c>
      <c r="H624" s="265">
        <f>F624*G624</f>
        <v>0</v>
      </c>
      <c r="I624" s="509">
        <f>H624*21%</f>
        <v>0</v>
      </c>
      <c r="J624" s="509">
        <f>H624+I624</f>
        <v>0</v>
      </c>
      <c r="K624" s="405"/>
      <c r="L624" s="405"/>
    </row>
    <row r="625" spans="1:12" s="399" customFormat="1" ht="15" customHeight="1">
      <c r="B625" s="508"/>
      <c r="C625" s="401"/>
      <c r="D625" s="410" t="s">
        <v>247</v>
      </c>
      <c r="E625" s="402" t="s">
        <v>164</v>
      </c>
      <c r="F625" s="264"/>
      <c r="G625" s="434"/>
      <c r="H625" s="265">
        <f>F625*G625</f>
        <v>0</v>
      </c>
      <c r="I625" s="509">
        <v>0</v>
      </c>
      <c r="J625" s="509">
        <f>H625+I625</f>
        <v>0</v>
      </c>
      <c r="K625" s="405"/>
      <c r="L625" s="405"/>
    </row>
    <row r="626" spans="1:12" s="13" customFormat="1" ht="15" customHeight="1">
      <c r="A626" s="102"/>
      <c r="B626" s="67"/>
      <c r="C626" s="42">
        <f>SUM(C622:C623)</f>
        <v>0</v>
      </c>
      <c r="D626" s="41"/>
      <c r="E626" s="347"/>
      <c r="F626" s="601" t="s">
        <v>49</v>
      </c>
      <c r="G626" s="602"/>
      <c r="H626" s="294">
        <f>SUM(H622:H625)</f>
        <v>31524000</v>
      </c>
      <c r="I626" s="126">
        <f>SUM(I622:I625)</f>
        <v>6620040</v>
      </c>
      <c r="J626" s="126">
        <f>SUM(J622:J625)</f>
        <v>38144040</v>
      </c>
      <c r="K626" s="127"/>
      <c r="L626" s="127"/>
    </row>
    <row r="627" spans="1:12" ht="30" customHeight="1">
      <c r="A627" s="98"/>
      <c r="B627" s="63"/>
      <c r="D627" s="2"/>
      <c r="E627" s="343"/>
      <c r="F627" s="247"/>
      <c r="G627" s="431"/>
      <c r="H627" s="248"/>
      <c r="I627" s="12"/>
      <c r="J627" s="12"/>
      <c r="K627" s="127"/>
      <c r="L627" s="127"/>
    </row>
    <row r="628" spans="1:12" s="13" customFormat="1" ht="15" customHeight="1">
      <c r="A628" s="102"/>
      <c r="B628" s="69"/>
      <c r="C628" s="110">
        <v>10</v>
      </c>
      <c r="D628" s="113" t="s">
        <v>42</v>
      </c>
      <c r="E628" s="344" t="s">
        <v>73</v>
      </c>
      <c r="F628" s="249" t="s">
        <v>38</v>
      </c>
      <c r="G628" s="413" t="s">
        <v>39</v>
      </c>
      <c r="H628" s="250" t="s">
        <v>52</v>
      </c>
      <c r="I628" s="118" t="s">
        <v>54</v>
      </c>
      <c r="J628" s="118" t="s">
        <v>118</v>
      </c>
      <c r="K628" s="127"/>
      <c r="L628" s="127"/>
    </row>
    <row r="629" spans="1:12" s="399" customFormat="1" ht="15" customHeight="1">
      <c r="B629" s="508"/>
      <c r="C629" s="401"/>
      <c r="D629" s="411" t="s">
        <v>191</v>
      </c>
      <c r="E629" s="511" t="s">
        <v>160</v>
      </c>
      <c r="F629" s="264">
        <f>27000000*1.42</f>
        <v>38340000</v>
      </c>
      <c r="G629" s="434">
        <v>1</v>
      </c>
      <c r="H629" s="265">
        <f>F629*G629</f>
        <v>38340000</v>
      </c>
      <c r="I629" s="509">
        <f>F629*21%</f>
        <v>8051400</v>
      </c>
      <c r="J629" s="509">
        <f>H629+I629</f>
        <v>46391400</v>
      </c>
      <c r="K629" s="405"/>
      <c r="L629" s="405"/>
    </row>
    <row r="630" spans="1:12" s="399" customFormat="1" ht="15" customHeight="1">
      <c r="B630" s="508"/>
      <c r="C630" s="401"/>
      <c r="D630" s="411" t="s">
        <v>117</v>
      </c>
      <c r="E630" s="511" t="s">
        <v>160</v>
      </c>
      <c r="F630" s="264">
        <f>2800000*1.42</f>
        <v>3976000</v>
      </c>
      <c r="G630" s="434">
        <v>1</v>
      </c>
      <c r="H630" s="265">
        <f>F630*G630</f>
        <v>3976000</v>
      </c>
      <c r="I630" s="509">
        <f>F630*21%</f>
        <v>834960</v>
      </c>
      <c r="J630" s="509">
        <f>H630+I630</f>
        <v>4810960</v>
      </c>
      <c r="K630" s="405"/>
      <c r="L630" s="405"/>
    </row>
    <row r="631" spans="1:12" s="399" customFormat="1" ht="15" customHeight="1">
      <c r="B631" s="508"/>
      <c r="C631" s="401"/>
      <c r="D631" s="410" t="s">
        <v>281</v>
      </c>
      <c r="E631" s="511" t="s">
        <v>160</v>
      </c>
      <c r="F631" s="264">
        <f>400000*1.42</f>
        <v>568000</v>
      </c>
      <c r="G631" s="434">
        <v>1</v>
      </c>
      <c r="H631" s="265">
        <f>F631*G631</f>
        <v>568000</v>
      </c>
      <c r="I631" s="509">
        <f>F631*21%</f>
        <v>119280</v>
      </c>
      <c r="J631" s="509">
        <f>H631+I631</f>
        <v>687280</v>
      </c>
      <c r="K631" s="405"/>
      <c r="L631" s="405"/>
    </row>
    <row r="632" spans="1:12" s="13" customFormat="1" ht="15" customHeight="1">
      <c r="A632" s="102"/>
      <c r="B632" s="67"/>
      <c r="C632" s="42">
        <f>SUM(C629:C630)</f>
        <v>0</v>
      </c>
      <c r="D632" s="41"/>
      <c r="E632" s="347"/>
      <c r="F632" s="594" t="s">
        <v>57</v>
      </c>
      <c r="G632" s="595"/>
      <c r="H632" s="255">
        <f>SUM(H629:H631)</f>
        <v>42884000</v>
      </c>
      <c r="I632" s="119">
        <f>SUM(I629:I631)</f>
        <v>9005640</v>
      </c>
      <c r="J632" s="119">
        <f>SUM(J629:J631)</f>
        <v>51889640</v>
      </c>
      <c r="K632" s="127"/>
      <c r="L632" s="127"/>
    </row>
    <row r="633" spans="1:12" ht="30" customHeight="1">
      <c r="A633" s="98"/>
      <c r="B633" s="63"/>
      <c r="D633" s="2"/>
      <c r="E633" s="343"/>
      <c r="F633" s="247"/>
      <c r="G633" s="431"/>
      <c r="H633" s="248"/>
      <c r="I633" s="12"/>
      <c r="J633" s="12"/>
      <c r="K633" s="127"/>
      <c r="L633" s="127"/>
    </row>
    <row r="634" spans="1:12" s="13" customFormat="1" ht="15" customHeight="1">
      <c r="A634" s="102"/>
      <c r="B634" s="69"/>
      <c r="C634" s="110">
        <v>11</v>
      </c>
      <c r="D634" s="113" t="s">
        <v>74</v>
      </c>
      <c r="E634" s="344" t="s">
        <v>73</v>
      </c>
      <c r="F634" s="249" t="s">
        <v>38</v>
      </c>
      <c r="G634" s="413" t="s">
        <v>39</v>
      </c>
      <c r="H634" s="250" t="s">
        <v>52</v>
      </c>
      <c r="I634" s="118" t="s">
        <v>54</v>
      </c>
      <c r="J634" s="118" t="s">
        <v>118</v>
      </c>
      <c r="K634" s="127"/>
      <c r="L634" s="127"/>
    </row>
    <row r="635" spans="1:12" s="507" customFormat="1" ht="15" customHeight="1">
      <c r="B635" s="512"/>
      <c r="C635" s="513"/>
      <c r="D635" s="154" t="s">
        <v>167</v>
      </c>
      <c r="E635" s="514"/>
      <c r="F635" s="515"/>
      <c r="G635" s="516"/>
      <c r="H635" s="517"/>
      <c r="I635" s="518"/>
      <c r="J635" s="519"/>
      <c r="K635" s="405"/>
      <c r="L635" s="405"/>
    </row>
    <row r="636" spans="1:12" s="399" customFormat="1" ht="15" customHeight="1">
      <c r="B636" s="508"/>
      <c r="C636" s="401"/>
      <c r="D636" s="177" t="s">
        <v>248</v>
      </c>
      <c r="E636" s="402">
        <v>4</v>
      </c>
      <c r="F636" s="265">
        <f>1700000*1.42</f>
        <v>2414000</v>
      </c>
      <c r="G636" s="434">
        <v>6</v>
      </c>
      <c r="H636" s="265">
        <f>+F636*E636*G636</f>
        <v>57936000</v>
      </c>
      <c r="I636" s="404">
        <f>H636*21%</f>
        <v>12166560</v>
      </c>
      <c r="J636" s="404">
        <f t="shared" ref="J636:J638" si="15">+I636+H636</f>
        <v>70102560</v>
      </c>
      <c r="K636" s="405"/>
      <c r="L636" s="405"/>
    </row>
    <row r="637" spans="1:12" s="399" customFormat="1" ht="15" customHeight="1">
      <c r="B637" s="508"/>
      <c r="C637" s="401"/>
      <c r="D637" s="521" t="s">
        <v>255</v>
      </c>
      <c r="E637" s="402">
        <v>1</v>
      </c>
      <c r="F637" s="265">
        <f>800000*1.42</f>
        <v>1136000</v>
      </c>
      <c r="G637" s="434">
        <v>6</v>
      </c>
      <c r="H637" s="265">
        <f>+F637*G637*E637</f>
        <v>6816000</v>
      </c>
      <c r="I637" s="404">
        <v>0</v>
      </c>
      <c r="J637" s="404">
        <f t="shared" si="15"/>
        <v>6816000</v>
      </c>
      <c r="K637" s="405"/>
      <c r="L637" s="405"/>
    </row>
    <row r="638" spans="1:12" s="399" customFormat="1" ht="15" customHeight="1">
      <c r="B638" s="508"/>
      <c r="C638" s="401"/>
      <c r="D638" s="522" t="s">
        <v>168</v>
      </c>
      <c r="E638" s="402">
        <v>12</v>
      </c>
      <c r="F638" s="265">
        <f>300000*1.42</f>
        <v>426000</v>
      </c>
      <c r="G638" s="434">
        <v>10</v>
      </c>
      <c r="H638" s="265">
        <f>+F638*G638*E638</f>
        <v>51120000</v>
      </c>
      <c r="I638" s="404">
        <f>H638*21%</f>
        <v>10735200</v>
      </c>
      <c r="J638" s="404">
        <f t="shared" si="15"/>
        <v>61855200</v>
      </c>
      <c r="K638" s="405"/>
      <c r="L638" s="405"/>
    </row>
    <row r="639" spans="1:12" s="399" customFormat="1" ht="15" customHeight="1">
      <c r="B639" s="508"/>
      <c r="C639" s="401"/>
      <c r="D639" s="522" t="s">
        <v>210</v>
      </c>
      <c r="E639" s="402">
        <v>1</v>
      </c>
      <c r="F639" s="265">
        <f>500000*1.42</f>
        <v>710000</v>
      </c>
      <c r="G639" s="434">
        <v>6</v>
      </c>
      <c r="H639" s="265">
        <f>+F639*G639*E639</f>
        <v>4260000</v>
      </c>
      <c r="I639" s="404">
        <v>0</v>
      </c>
      <c r="J639" s="404">
        <f>+I639+H639</f>
        <v>4260000</v>
      </c>
      <c r="K639" s="405"/>
      <c r="L639" s="405"/>
    </row>
    <row r="640" spans="1:12" s="399" customFormat="1" ht="15" customHeight="1">
      <c r="B640" s="508"/>
      <c r="C640" s="401"/>
      <c r="D640" s="521" t="s">
        <v>249</v>
      </c>
      <c r="E640" s="352">
        <v>1</v>
      </c>
      <c r="F640" s="295">
        <f>130000*1.42</f>
        <v>184600</v>
      </c>
      <c r="G640" s="434">
        <v>6</v>
      </c>
      <c r="H640" s="520">
        <f>+F640*E640*G640</f>
        <v>1107600</v>
      </c>
      <c r="I640" s="404">
        <f>H640*21%</f>
        <v>232596</v>
      </c>
      <c r="J640" s="404">
        <f>+I640+H640</f>
        <v>1340196</v>
      </c>
      <c r="K640" s="405"/>
      <c r="L640" s="405"/>
    </row>
    <row r="641" spans="1:15" s="24" customFormat="1" ht="15" customHeight="1">
      <c r="A641" s="104"/>
      <c r="B641" s="72"/>
      <c r="C641" s="23"/>
      <c r="D641" s="91" t="s">
        <v>216</v>
      </c>
      <c r="E641" s="380"/>
      <c r="F641" s="293"/>
      <c r="G641" s="448"/>
      <c r="H641" s="252"/>
      <c r="I641" s="52"/>
      <c r="J641" s="48"/>
      <c r="K641" s="127"/>
      <c r="L641" s="127"/>
      <c r="M641" s="523" t="s">
        <v>396</v>
      </c>
      <c r="N641" s="526">
        <v>0.12</v>
      </c>
      <c r="O641" s="523" t="s">
        <v>350</v>
      </c>
    </row>
    <row r="642" spans="1:15" s="500" customFormat="1" ht="15" customHeight="1">
      <c r="B642" s="527"/>
      <c r="C642" s="401"/>
      <c r="D642" s="522" t="s">
        <v>211</v>
      </c>
      <c r="E642" s="402" t="s">
        <v>108</v>
      </c>
      <c r="F642" s="295">
        <f>O642</f>
        <v>38080</v>
      </c>
      <c r="G642" s="435">
        <v>1</v>
      </c>
      <c r="H642" s="266">
        <f t="shared" ref="H642:H650" si="16">F642*G642</f>
        <v>38080</v>
      </c>
      <c r="I642" s="503"/>
      <c r="J642" s="504"/>
      <c r="K642" s="405"/>
      <c r="L642" s="405"/>
      <c r="M642" s="528">
        <v>34000</v>
      </c>
      <c r="N642" s="525">
        <f t="shared" ref="N642:N650" si="17">+M642*$N$641</f>
        <v>4080</v>
      </c>
      <c r="O642" s="524">
        <f>+M642+N642</f>
        <v>38080</v>
      </c>
    </row>
    <row r="643" spans="1:15" s="500" customFormat="1" ht="15" customHeight="1">
      <c r="B643" s="527"/>
      <c r="C643" s="401"/>
      <c r="D643" s="522" t="s">
        <v>212</v>
      </c>
      <c r="E643" s="402" t="s">
        <v>110</v>
      </c>
      <c r="F643" s="295">
        <f>O643</f>
        <v>31360</v>
      </c>
      <c r="G643" s="435">
        <v>6</v>
      </c>
      <c r="H643" s="266">
        <f>F643*G643</f>
        <v>188160</v>
      </c>
      <c r="I643" s="503"/>
      <c r="J643" s="504"/>
      <c r="K643" s="405"/>
      <c r="L643" s="405"/>
      <c r="M643" s="529">
        <v>28000</v>
      </c>
      <c r="N643" s="528">
        <f t="shared" si="17"/>
        <v>3360</v>
      </c>
      <c r="O643" s="528">
        <f t="shared" ref="O643:O650" si="18">M643+N643</f>
        <v>31360</v>
      </c>
    </row>
    <row r="644" spans="1:15" s="500" customFormat="1" ht="15" customHeight="1">
      <c r="B644" s="527"/>
      <c r="C644" s="401"/>
      <c r="D644" s="522" t="s">
        <v>213</v>
      </c>
      <c r="E644" s="402" t="s">
        <v>110</v>
      </c>
      <c r="F644" s="295">
        <f t="shared" ref="F644:F650" si="19">O644</f>
        <v>15680</v>
      </c>
      <c r="G644" s="435">
        <v>40</v>
      </c>
      <c r="H644" s="266">
        <f>F644*G644</f>
        <v>627200</v>
      </c>
      <c r="I644" s="503"/>
      <c r="J644" s="504"/>
      <c r="K644" s="405"/>
      <c r="L644" s="405"/>
      <c r="M644" s="528">
        <v>14000</v>
      </c>
      <c r="N644" s="528">
        <f t="shared" si="17"/>
        <v>1680</v>
      </c>
      <c r="O644" s="528">
        <f t="shared" si="18"/>
        <v>15680</v>
      </c>
    </row>
    <row r="645" spans="1:15" s="500" customFormat="1" ht="15" customHeight="1">
      <c r="B645" s="527"/>
      <c r="C645" s="401"/>
      <c r="D645" s="522" t="s">
        <v>318</v>
      </c>
      <c r="E645" s="402" t="s">
        <v>110</v>
      </c>
      <c r="F645" s="295">
        <f t="shared" si="19"/>
        <v>122080</v>
      </c>
      <c r="G645" s="435">
        <v>3</v>
      </c>
      <c r="H645" s="266">
        <f>F645*G645</f>
        <v>366240</v>
      </c>
      <c r="I645" s="503"/>
      <c r="J645" s="504"/>
      <c r="K645" s="405"/>
      <c r="L645" s="405"/>
      <c r="M645" s="528">
        <v>109000</v>
      </c>
      <c r="N645" s="528">
        <f t="shared" si="17"/>
        <v>13080</v>
      </c>
      <c r="O645" s="528">
        <f t="shared" si="18"/>
        <v>122080</v>
      </c>
    </row>
    <row r="646" spans="1:15" s="500" customFormat="1" ht="15" customHeight="1">
      <c r="B646" s="527"/>
      <c r="C646" s="401"/>
      <c r="D646" s="522" t="s">
        <v>319</v>
      </c>
      <c r="E646" s="402" t="s">
        <v>110</v>
      </c>
      <c r="F646" s="295">
        <f t="shared" si="19"/>
        <v>15680</v>
      </c>
      <c r="G646" s="435">
        <v>2</v>
      </c>
      <c r="H646" s="266">
        <f>F646*G646</f>
        <v>31360</v>
      </c>
      <c r="I646" s="503"/>
      <c r="J646" s="504"/>
      <c r="K646" s="405"/>
      <c r="L646" s="405"/>
      <c r="M646" s="528">
        <v>14000</v>
      </c>
      <c r="N646" s="528">
        <f t="shared" si="17"/>
        <v>1680</v>
      </c>
      <c r="O646" s="528">
        <f t="shared" si="18"/>
        <v>15680</v>
      </c>
    </row>
    <row r="647" spans="1:15" s="500" customFormat="1" ht="15" customHeight="1">
      <c r="B647" s="527"/>
      <c r="C647" s="401"/>
      <c r="D647" s="522" t="s">
        <v>217</v>
      </c>
      <c r="E647" s="402" t="s">
        <v>110</v>
      </c>
      <c r="F647" s="295">
        <f t="shared" si="19"/>
        <v>168000</v>
      </c>
      <c r="G647" s="435">
        <v>5</v>
      </c>
      <c r="H647" s="266">
        <f t="shared" si="16"/>
        <v>840000</v>
      </c>
      <c r="I647" s="503"/>
      <c r="J647" s="504"/>
      <c r="K647" s="405"/>
      <c r="L647" s="405"/>
      <c r="M647" s="528">
        <v>150000</v>
      </c>
      <c r="N647" s="528">
        <f t="shared" si="17"/>
        <v>18000</v>
      </c>
      <c r="O647" s="528">
        <f t="shared" si="18"/>
        <v>168000</v>
      </c>
    </row>
    <row r="648" spans="1:15" s="500" customFormat="1" ht="15" customHeight="1">
      <c r="B648" s="527"/>
      <c r="C648" s="401"/>
      <c r="D648" s="522" t="s">
        <v>214</v>
      </c>
      <c r="E648" s="402" t="s">
        <v>23</v>
      </c>
      <c r="F648" s="295">
        <f t="shared" si="19"/>
        <v>12320</v>
      </c>
      <c r="G648" s="435">
        <v>6</v>
      </c>
      <c r="H648" s="266">
        <f t="shared" si="16"/>
        <v>73920</v>
      </c>
      <c r="I648" s="405"/>
      <c r="J648" s="504"/>
      <c r="K648" s="405"/>
      <c r="L648" s="405"/>
      <c r="M648" s="528">
        <v>11000</v>
      </c>
      <c r="N648" s="528">
        <f t="shared" si="17"/>
        <v>1320</v>
      </c>
      <c r="O648" s="528">
        <f t="shared" si="18"/>
        <v>12320</v>
      </c>
    </row>
    <row r="649" spans="1:15" s="500" customFormat="1" ht="15" customHeight="1">
      <c r="B649" s="527"/>
      <c r="C649" s="401"/>
      <c r="D649" s="522" t="s">
        <v>215</v>
      </c>
      <c r="E649" s="402" t="s">
        <v>23</v>
      </c>
      <c r="F649" s="295">
        <f t="shared" si="19"/>
        <v>15680</v>
      </c>
      <c r="G649" s="435">
        <v>40</v>
      </c>
      <c r="H649" s="266">
        <f>+F649*G649</f>
        <v>627200</v>
      </c>
      <c r="I649" s="530"/>
      <c r="J649" s="531"/>
      <c r="K649" s="405"/>
      <c r="L649" s="405"/>
      <c r="M649" s="528">
        <v>14000</v>
      </c>
      <c r="N649" s="528">
        <f t="shared" si="17"/>
        <v>1680</v>
      </c>
      <c r="O649" s="528">
        <f t="shared" si="18"/>
        <v>15680</v>
      </c>
    </row>
    <row r="650" spans="1:15" s="500" customFormat="1" ht="15" customHeight="1">
      <c r="B650" s="527"/>
      <c r="C650" s="401"/>
      <c r="D650" s="522" t="s">
        <v>218</v>
      </c>
      <c r="E650" s="402" t="s">
        <v>170</v>
      </c>
      <c r="F650" s="295">
        <f t="shared" si="19"/>
        <v>5600</v>
      </c>
      <c r="G650" s="435">
        <f>SUM(G642:G649)</f>
        <v>103</v>
      </c>
      <c r="H650" s="266">
        <f t="shared" si="16"/>
        <v>576800</v>
      </c>
      <c r="I650" s="404">
        <v>0</v>
      </c>
      <c r="J650" s="404">
        <f>SUM(H642:H650)</f>
        <v>3368960</v>
      </c>
      <c r="K650" s="405"/>
      <c r="L650" s="405"/>
      <c r="M650" s="528">
        <v>5000</v>
      </c>
      <c r="N650" s="528">
        <f t="shared" si="17"/>
        <v>600</v>
      </c>
      <c r="O650" s="528">
        <f t="shared" si="18"/>
        <v>5600</v>
      </c>
    </row>
    <row r="651" spans="1:15" s="24" customFormat="1" ht="15" customHeight="1">
      <c r="A651" s="104"/>
      <c r="B651" s="72"/>
      <c r="C651" s="23"/>
      <c r="D651" s="91" t="s">
        <v>88</v>
      </c>
      <c r="E651" s="380"/>
      <c r="F651" s="293"/>
      <c r="G651" s="448"/>
      <c r="H651" s="252"/>
      <c r="I651" s="52"/>
      <c r="J651" s="48"/>
      <c r="K651" s="127"/>
      <c r="L651" s="127"/>
    </row>
    <row r="652" spans="1:15" s="500" customFormat="1" ht="15" customHeight="1">
      <c r="B652" s="527"/>
      <c r="C652" s="401"/>
      <c r="D652" s="153" t="s">
        <v>169</v>
      </c>
      <c r="E652" s="402" t="s">
        <v>58</v>
      </c>
      <c r="F652" s="295">
        <f>300000*1.42</f>
        <v>426000</v>
      </c>
      <c r="G652" s="435">
        <v>4</v>
      </c>
      <c r="H652" s="266">
        <f>F652*G652</f>
        <v>1704000</v>
      </c>
      <c r="I652" s="404">
        <v>0</v>
      </c>
      <c r="J652" s="404">
        <f>+I652+H652</f>
        <v>1704000</v>
      </c>
      <c r="K652" s="405"/>
      <c r="L652" s="405"/>
    </row>
    <row r="653" spans="1:15" s="500" customFormat="1" ht="15" customHeight="1">
      <c r="B653" s="527"/>
      <c r="C653" s="401"/>
      <c r="D653" s="177" t="s">
        <v>250</v>
      </c>
      <c r="E653" s="402" t="s">
        <v>164</v>
      </c>
      <c r="F653" s="295">
        <v>100000</v>
      </c>
      <c r="G653" s="435">
        <f>G652*4</f>
        <v>16</v>
      </c>
      <c r="H653" s="266">
        <f>F653*G653</f>
        <v>1600000</v>
      </c>
      <c r="I653" s="404">
        <f>+H653*21%</f>
        <v>336000</v>
      </c>
      <c r="J653" s="404">
        <f>+I653+H653</f>
        <v>1936000</v>
      </c>
      <c r="K653" s="405"/>
      <c r="L653" s="405"/>
    </row>
    <row r="654" spans="1:15" s="500" customFormat="1" ht="15" customHeight="1">
      <c r="B654" s="527"/>
      <c r="C654" s="401"/>
      <c r="D654" s="532" t="s">
        <v>171</v>
      </c>
      <c r="E654" s="402" t="s">
        <v>164</v>
      </c>
      <c r="F654" s="295">
        <f>10000*1.44*1.42</f>
        <v>20448</v>
      </c>
      <c r="G654" s="435">
        <f>G653</f>
        <v>16</v>
      </c>
      <c r="H654" s="266">
        <f>F654*G654</f>
        <v>327168</v>
      </c>
      <c r="I654" s="404"/>
      <c r="J654" s="404">
        <f>+I654+H654</f>
        <v>327168</v>
      </c>
      <c r="K654" s="405"/>
      <c r="L654" s="405"/>
    </row>
    <row r="655" spans="1:15" s="13" customFormat="1" ht="15" customHeight="1">
      <c r="A655" s="102"/>
      <c r="B655" s="67"/>
      <c r="C655" s="57">
        <f>SUM(C635:C654)</f>
        <v>0</v>
      </c>
      <c r="D655" s="41"/>
      <c r="E655" s="347"/>
      <c r="F655" s="594" t="s">
        <v>67</v>
      </c>
      <c r="G655" s="595"/>
      <c r="H655" s="255">
        <f>SUM(H636:H654)</f>
        <v>128239728</v>
      </c>
      <c r="I655" s="119">
        <f>SUM(I636:I654)</f>
        <v>23470356</v>
      </c>
      <c r="J655" s="119">
        <f>SUM(J635:J654)</f>
        <v>151710084</v>
      </c>
      <c r="K655" s="127"/>
      <c r="L655" s="127"/>
    </row>
    <row r="656" spans="1:15" ht="30" customHeight="1">
      <c r="A656" s="98"/>
      <c r="B656" s="63"/>
      <c r="D656" s="2"/>
      <c r="E656" s="343"/>
      <c r="F656" s="247"/>
      <c r="G656" s="431"/>
      <c r="H656" s="248"/>
      <c r="I656" s="12"/>
      <c r="J656" s="12"/>
      <c r="K656" s="127"/>
      <c r="L656" s="127"/>
    </row>
    <row r="657" spans="1:12" s="13" customFormat="1" ht="15" customHeight="1">
      <c r="A657" s="102"/>
      <c r="B657" s="69"/>
      <c r="C657" s="110">
        <v>12</v>
      </c>
      <c r="D657" s="113" t="s">
        <v>95</v>
      </c>
      <c r="E657" s="344" t="s">
        <v>73</v>
      </c>
      <c r="F657" s="249" t="s">
        <v>38</v>
      </c>
      <c r="G657" s="413" t="s">
        <v>39</v>
      </c>
      <c r="H657" s="250" t="s">
        <v>52</v>
      </c>
      <c r="I657" s="118" t="s">
        <v>54</v>
      </c>
      <c r="J657" s="118" t="s">
        <v>118</v>
      </c>
      <c r="K657" s="127"/>
      <c r="L657" s="127"/>
    </row>
    <row r="658" spans="1:12" s="399" customFormat="1" ht="15" customHeight="1">
      <c r="B658" s="533"/>
      <c r="C658" s="401"/>
      <c r="D658" s="411" t="s">
        <v>97</v>
      </c>
      <c r="E658" s="402" t="s">
        <v>108</v>
      </c>
      <c r="F658" s="264">
        <f>1700000*1.42</f>
        <v>2414000</v>
      </c>
      <c r="G658" s="434">
        <v>1</v>
      </c>
      <c r="H658" s="265">
        <f>F658*G658</f>
        <v>2414000</v>
      </c>
      <c r="I658" s="534">
        <f>+H658*21%</f>
        <v>506940</v>
      </c>
      <c r="J658" s="534">
        <f>H658</f>
        <v>2414000</v>
      </c>
      <c r="K658" s="405"/>
      <c r="L658" s="405"/>
    </row>
    <row r="659" spans="1:12" s="399" customFormat="1" ht="15" customHeight="1">
      <c r="B659" s="533"/>
      <c r="C659" s="401"/>
      <c r="D659" s="411" t="s">
        <v>88</v>
      </c>
      <c r="E659" s="402" t="s">
        <v>108</v>
      </c>
      <c r="F659" s="264">
        <v>0</v>
      </c>
      <c r="G659" s="434">
        <v>1</v>
      </c>
      <c r="H659" s="265">
        <f>F659*G659</f>
        <v>0</v>
      </c>
      <c r="I659" s="534">
        <v>0</v>
      </c>
      <c r="J659" s="534">
        <f>H659</f>
        <v>0</v>
      </c>
      <c r="K659" s="405"/>
      <c r="L659" s="405"/>
    </row>
    <row r="660" spans="1:12" s="13" customFormat="1" ht="15" customHeight="1">
      <c r="A660" s="102"/>
      <c r="B660" s="67"/>
      <c r="C660" s="42">
        <f>SUM(C658:C659)</f>
        <v>0</v>
      </c>
      <c r="D660" s="41"/>
      <c r="E660" s="347"/>
      <c r="F660" s="594" t="s">
        <v>12</v>
      </c>
      <c r="G660" s="595"/>
      <c r="H660" s="255">
        <f>SUM(H658:H659)</f>
        <v>2414000</v>
      </c>
      <c r="I660" s="119">
        <f>SUM(I658:I659)</f>
        <v>506940</v>
      </c>
      <c r="J660" s="119">
        <f>SUM(J658:J659)</f>
        <v>2414000</v>
      </c>
      <c r="K660" s="127"/>
      <c r="L660" s="127"/>
    </row>
    <row r="661" spans="1:12" ht="30" customHeight="1">
      <c r="A661" s="98"/>
      <c r="B661" s="63"/>
      <c r="D661" s="2"/>
      <c r="E661" s="343"/>
      <c r="F661" s="247"/>
      <c r="G661" s="431"/>
      <c r="H661" s="248"/>
      <c r="I661" s="12"/>
      <c r="J661" s="12"/>
      <c r="K661" s="127"/>
      <c r="L661" s="127"/>
    </row>
    <row r="662" spans="1:12" s="13" customFormat="1" ht="15" customHeight="1">
      <c r="A662" s="102"/>
      <c r="B662" s="69"/>
      <c r="C662" s="110">
        <v>13</v>
      </c>
      <c r="D662" s="113" t="s">
        <v>7</v>
      </c>
      <c r="E662" s="344" t="s">
        <v>73</v>
      </c>
      <c r="F662" s="249" t="s">
        <v>38</v>
      </c>
      <c r="G662" s="413" t="s">
        <v>39</v>
      </c>
      <c r="H662" s="250" t="s">
        <v>52</v>
      </c>
      <c r="I662" s="118" t="s">
        <v>54</v>
      </c>
      <c r="J662" s="118" t="s">
        <v>118</v>
      </c>
      <c r="K662" s="127"/>
      <c r="L662" s="127"/>
    </row>
    <row r="663" spans="1:12" s="399" customFormat="1" ht="15" customHeight="1">
      <c r="B663" s="400"/>
      <c r="C663" s="401"/>
      <c r="D663" s="192" t="s">
        <v>264</v>
      </c>
      <c r="E663" s="402" t="s">
        <v>108</v>
      </c>
      <c r="F663" s="327">
        <v>25000000</v>
      </c>
      <c r="G663" s="449">
        <v>1</v>
      </c>
      <c r="H663" s="403">
        <f>+F663*G663</f>
        <v>25000000</v>
      </c>
      <c r="I663" s="404"/>
      <c r="J663" s="404">
        <f>H663+I663</f>
        <v>25000000</v>
      </c>
      <c r="K663" s="405"/>
      <c r="L663" s="405"/>
    </row>
    <row r="664" spans="1:12" s="399" customFormat="1" ht="15" customHeight="1">
      <c r="B664" s="400"/>
      <c r="C664" s="401"/>
      <c r="D664" s="406" t="s">
        <v>320</v>
      </c>
      <c r="E664" s="407"/>
      <c r="F664" s="408"/>
      <c r="G664" s="449"/>
      <c r="H664" s="403"/>
      <c r="I664" s="409"/>
      <c r="J664" s="409"/>
      <c r="K664" s="405"/>
      <c r="L664" s="405"/>
    </row>
    <row r="665" spans="1:12" s="399" customFormat="1" ht="15" customHeight="1">
      <c r="B665" s="400"/>
      <c r="C665" s="401"/>
      <c r="D665" s="192" t="s">
        <v>265</v>
      </c>
      <c r="E665" s="402" t="s">
        <v>108</v>
      </c>
      <c r="F665" s="327">
        <v>0</v>
      </c>
      <c r="G665" s="449">
        <v>1</v>
      </c>
      <c r="H665" s="403">
        <f>+F665*G665</f>
        <v>0</v>
      </c>
      <c r="I665" s="404">
        <v>0</v>
      </c>
      <c r="J665" s="404">
        <f>H665+I665</f>
        <v>0</v>
      </c>
      <c r="K665" s="405"/>
      <c r="L665" s="405"/>
    </row>
    <row r="666" spans="1:12" s="399" customFormat="1" ht="15" customHeight="1">
      <c r="B666" s="400"/>
      <c r="C666" s="401"/>
      <c r="D666" s="410"/>
      <c r="E666" s="407"/>
      <c r="F666" s="408"/>
      <c r="G666" s="449"/>
      <c r="H666" s="403"/>
      <c r="I666" s="409"/>
      <c r="J666" s="409"/>
      <c r="K666" s="405"/>
      <c r="L666" s="405"/>
    </row>
    <row r="667" spans="1:12" s="399" customFormat="1" ht="15" customHeight="1">
      <c r="B667" s="400"/>
      <c r="C667" s="401"/>
      <c r="D667" s="411" t="s">
        <v>64</v>
      </c>
      <c r="E667" s="402" t="s">
        <v>108</v>
      </c>
      <c r="F667" s="265">
        <v>0</v>
      </c>
      <c r="G667" s="449">
        <v>1</v>
      </c>
      <c r="H667" s="403">
        <f>+F667*G667</f>
        <v>0</v>
      </c>
      <c r="I667" s="404">
        <v>0</v>
      </c>
      <c r="J667" s="404">
        <f>H667+I667</f>
        <v>0</v>
      </c>
      <c r="K667" s="405"/>
      <c r="L667" s="405"/>
    </row>
    <row r="668" spans="1:12" s="13" customFormat="1" ht="15" customHeight="1">
      <c r="A668" s="102"/>
      <c r="B668" s="67"/>
      <c r="C668" s="42">
        <f>SUM(C663:C667)</f>
        <v>0</v>
      </c>
      <c r="D668" s="41"/>
      <c r="E668" s="347"/>
      <c r="F668" s="594" t="s">
        <v>93</v>
      </c>
      <c r="G668" s="595"/>
      <c r="H668" s="255">
        <f>SUM(H663:H667)</f>
        <v>25000000</v>
      </c>
      <c r="I668" s="119">
        <f>SUM(I663:I667)</f>
        <v>0</v>
      </c>
      <c r="J668" s="119">
        <f>SUM(J663:J667)</f>
        <v>25000000</v>
      </c>
      <c r="K668" s="127"/>
      <c r="L668" s="127"/>
    </row>
    <row r="669" spans="1:12" ht="30" customHeight="1">
      <c r="A669" s="98"/>
      <c r="B669" s="63"/>
      <c r="D669" s="2"/>
      <c r="E669" s="343"/>
      <c r="F669" s="247"/>
      <c r="G669" s="431"/>
      <c r="H669" s="248"/>
      <c r="I669" s="12"/>
      <c r="J669" s="12"/>
      <c r="K669" s="127"/>
      <c r="L669" s="127"/>
    </row>
    <row r="670" spans="1:12" s="13" customFormat="1" ht="15" customHeight="1">
      <c r="A670" s="102"/>
      <c r="B670" s="69"/>
      <c r="C670" s="110">
        <v>14</v>
      </c>
      <c r="D670" s="113" t="s">
        <v>324</v>
      </c>
      <c r="E670" s="344" t="s">
        <v>73</v>
      </c>
      <c r="F670" s="249" t="s">
        <v>38</v>
      </c>
      <c r="G670" s="413" t="s">
        <v>39</v>
      </c>
      <c r="H670" s="250" t="s">
        <v>52</v>
      </c>
      <c r="I670" s="118" t="s">
        <v>54</v>
      </c>
      <c r="J670" s="118" t="s">
        <v>118</v>
      </c>
      <c r="K670" s="127"/>
      <c r="L670" s="127"/>
    </row>
    <row r="671" spans="1:12" s="500" customFormat="1" ht="15" customHeight="1">
      <c r="B671" s="501"/>
      <c r="C671" s="401"/>
      <c r="D671" s="95" t="s">
        <v>129</v>
      </c>
      <c r="E671" s="535"/>
      <c r="F671" s="536"/>
      <c r="G671" s="537"/>
      <c r="H671" s="538"/>
      <c r="I671" s="539"/>
      <c r="J671" s="540"/>
      <c r="K671" s="405"/>
      <c r="L671" s="405"/>
    </row>
    <row r="672" spans="1:12" s="500" customFormat="1" ht="15" customHeight="1">
      <c r="B672" s="527"/>
      <c r="C672" s="401"/>
      <c r="D672" s="153" t="s">
        <v>321</v>
      </c>
      <c r="E672" s="402"/>
      <c r="F672" s="541">
        <f>3150000*1.42</f>
        <v>4473000</v>
      </c>
      <c r="G672" s="435">
        <v>6</v>
      </c>
      <c r="H672" s="266">
        <f>+F672*G672</f>
        <v>26838000</v>
      </c>
      <c r="I672" s="404">
        <f>+H672*21%</f>
        <v>5635980</v>
      </c>
      <c r="J672" s="404">
        <f>H672+I672</f>
        <v>32473980</v>
      </c>
      <c r="K672" s="405"/>
      <c r="L672" s="405"/>
    </row>
    <row r="673" spans="1:12" s="500" customFormat="1" ht="15" customHeight="1">
      <c r="B673" s="527"/>
      <c r="C673" s="401"/>
      <c r="D673" s="153" t="s">
        <v>322</v>
      </c>
      <c r="E673" s="542">
        <v>1</v>
      </c>
      <c r="F673" s="543">
        <f>1725000*1.44*1.42</f>
        <v>3527280</v>
      </c>
      <c r="G673" s="544">
        <v>4</v>
      </c>
      <c r="H673" s="266">
        <f>+F673*G673</f>
        <v>14109120</v>
      </c>
      <c r="I673" s="404">
        <f>+H673*21%</f>
        <v>2962915.1999999997</v>
      </c>
      <c r="J673" s="404">
        <f>H673+I673</f>
        <v>17072035.199999999</v>
      </c>
      <c r="K673" s="405"/>
      <c r="L673" s="405"/>
    </row>
    <row r="674" spans="1:12" s="500" customFormat="1" ht="15" customHeight="1">
      <c r="B674" s="527"/>
      <c r="C674" s="401"/>
      <c r="D674" s="153" t="s">
        <v>323</v>
      </c>
      <c r="E674" s="542">
        <f>E673</f>
        <v>1</v>
      </c>
      <c r="F674" s="541">
        <f>445248*1.44*1.43</f>
        <v>916854.68160000001</v>
      </c>
      <c r="G674" s="435">
        <v>3</v>
      </c>
      <c r="H674" s="545">
        <f>+F674*G674</f>
        <v>2750564.0448000003</v>
      </c>
      <c r="I674" s="404">
        <f>+H674*21%</f>
        <v>577618.44940799999</v>
      </c>
      <c r="J674" s="404">
        <f>H674+I674</f>
        <v>3328182.4942080001</v>
      </c>
      <c r="K674" s="405"/>
      <c r="L674" s="405"/>
    </row>
    <row r="675" spans="1:12" s="500" customFormat="1" ht="15" customHeight="1">
      <c r="B675" s="501"/>
      <c r="C675" s="401"/>
      <c r="D675" s="411" t="s">
        <v>99</v>
      </c>
      <c r="E675" s="402" t="s">
        <v>108</v>
      </c>
      <c r="F675" s="266">
        <v>0</v>
      </c>
      <c r="G675" s="546">
        <v>0</v>
      </c>
      <c r="H675" s="545">
        <f>+F675*G675</f>
        <v>0</v>
      </c>
      <c r="I675" s="404">
        <f>+H675*21%</f>
        <v>0</v>
      </c>
      <c r="J675" s="404">
        <f>H675+I675</f>
        <v>0</v>
      </c>
      <c r="K675" s="405"/>
      <c r="L675" s="405"/>
    </row>
    <row r="676" spans="1:12" s="13" customFormat="1" ht="15" customHeight="1">
      <c r="A676" s="102"/>
      <c r="B676" s="67"/>
      <c r="C676" s="42">
        <f>SUM(C671:C675)</f>
        <v>0</v>
      </c>
      <c r="D676" s="41"/>
      <c r="E676" s="347"/>
      <c r="F676" s="594" t="s">
        <v>92</v>
      </c>
      <c r="G676" s="595"/>
      <c r="H676" s="255">
        <f>SUM(H672:H675)</f>
        <v>43697684.044799998</v>
      </c>
      <c r="I676" s="119">
        <f>SUM(I672:I675)</f>
        <v>9176513.6494079996</v>
      </c>
      <c r="J676" s="119">
        <f>SUM(J672:J675)</f>
        <v>52874197.694208004</v>
      </c>
      <c r="K676" s="127"/>
      <c r="L676" s="127"/>
    </row>
    <row r="677" spans="1:12" ht="30" customHeight="1">
      <c r="A677" s="98"/>
      <c r="B677" s="63"/>
      <c r="D677" s="2"/>
      <c r="E677" s="343"/>
      <c r="F677" s="247"/>
      <c r="G677" s="431"/>
      <c r="H677" s="248"/>
      <c r="I677" s="12"/>
      <c r="J677" s="12"/>
      <c r="K677" s="127"/>
      <c r="L677" s="127"/>
    </row>
    <row r="678" spans="1:12" s="13" customFormat="1" ht="15" customHeight="1">
      <c r="A678" s="102"/>
      <c r="B678" s="69"/>
      <c r="C678" s="110">
        <v>15</v>
      </c>
      <c r="D678" s="113" t="s">
        <v>192</v>
      </c>
      <c r="E678" s="344" t="s">
        <v>73</v>
      </c>
      <c r="F678" s="249" t="s">
        <v>38</v>
      </c>
      <c r="G678" s="413" t="s">
        <v>39</v>
      </c>
      <c r="H678" s="250" t="s">
        <v>52</v>
      </c>
      <c r="I678" s="118" t="s">
        <v>54</v>
      </c>
      <c r="J678" s="118" t="s">
        <v>118</v>
      </c>
      <c r="K678" s="127"/>
      <c r="L678" s="127"/>
    </row>
    <row r="679" spans="1:12" s="500" customFormat="1" ht="15" customHeight="1">
      <c r="B679" s="501"/>
      <c r="C679" s="401"/>
      <c r="D679" s="95" t="s">
        <v>193</v>
      </c>
      <c r="E679" s="535"/>
      <c r="F679" s="536"/>
      <c r="G679" s="537"/>
      <c r="H679" s="538"/>
      <c r="I679" s="539"/>
      <c r="J679" s="540"/>
      <c r="K679" s="405"/>
      <c r="L679" s="405"/>
    </row>
    <row r="680" spans="1:12" s="500" customFormat="1" ht="15" customHeight="1">
      <c r="B680" s="501"/>
      <c r="C680" s="401"/>
      <c r="D680" s="179" t="s">
        <v>268</v>
      </c>
      <c r="E680" s="535"/>
      <c r="F680" s="538"/>
      <c r="G680" s="537"/>
      <c r="H680" s="547"/>
      <c r="I680" s="503"/>
      <c r="J680" s="504"/>
      <c r="K680" s="405"/>
      <c r="L680" s="405"/>
    </row>
    <row r="681" spans="1:12" s="500" customFormat="1" ht="15" customHeight="1">
      <c r="B681" s="501"/>
      <c r="C681" s="401"/>
      <c r="D681" s="179" t="s">
        <v>269</v>
      </c>
      <c r="E681" s="535"/>
      <c r="F681" s="538"/>
      <c r="G681" s="537"/>
      <c r="H681" s="547"/>
      <c r="I681" s="503"/>
      <c r="J681" s="504"/>
      <c r="K681" s="405"/>
      <c r="L681" s="405"/>
    </row>
    <row r="682" spans="1:12" s="500" customFormat="1" ht="15" customHeight="1">
      <c r="B682" s="501"/>
      <c r="C682" s="401"/>
      <c r="D682" s="80"/>
      <c r="E682" s="356" t="s">
        <v>188</v>
      </c>
      <c r="F682" s="266">
        <f>(7455)*H4</f>
        <v>11182500</v>
      </c>
      <c r="G682" s="435">
        <v>6</v>
      </c>
      <c r="H682" s="266">
        <f>+F682*G682</f>
        <v>67095000</v>
      </c>
      <c r="I682" s="404">
        <f>H682*21%</f>
        <v>14089950</v>
      </c>
      <c r="J682" s="404">
        <f>H682+I682</f>
        <v>81184950</v>
      </c>
      <c r="K682" s="405"/>
      <c r="L682" s="405"/>
    </row>
    <row r="683" spans="1:12" s="500" customFormat="1" ht="15" customHeight="1">
      <c r="B683" s="501"/>
      <c r="C683" s="401"/>
      <c r="D683" s="194" t="s">
        <v>266</v>
      </c>
      <c r="E683" s="535"/>
      <c r="F683" s="536"/>
      <c r="G683" s="537"/>
      <c r="H683" s="538"/>
      <c r="I683" s="539"/>
      <c r="J683" s="540"/>
      <c r="K683" s="405"/>
      <c r="L683" s="405"/>
    </row>
    <row r="684" spans="1:12" s="500" customFormat="1" ht="15" customHeight="1">
      <c r="B684" s="501"/>
      <c r="C684" s="401"/>
      <c r="D684" s="180" t="s">
        <v>267</v>
      </c>
      <c r="E684" s="548" t="s">
        <v>72</v>
      </c>
      <c r="F684" s="266">
        <f>(807)*H4</f>
        <v>1210500</v>
      </c>
      <c r="G684" s="435">
        <v>6</v>
      </c>
      <c r="H684" s="266">
        <f>+F684*G684</f>
        <v>7263000</v>
      </c>
      <c r="I684" s="404">
        <f>H684*21%</f>
        <v>1525230</v>
      </c>
      <c r="J684" s="404">
        <f>H684+I684</f>
        <v>8788230</v>
      </c>
      <c r="K684" s="405"/>
      <c r="L684" s="405"/>
    </row>
    <row r="685" spans="1:12" s="500" customFormat="1" ht="15" customHeight="1">
      <c r="B685" s="501"/>
      <c r="C685" s="401"/>
      <c r="D685" s="194" t="s">
        <v>270</v>
      </c>
      <c r="E685" s="535"/>
      <c r="F685" s="536"/>
      <c r="G685" s="537"/>
      <c r="H685" s="538"/>
      <c r="I685" s="539"/>
      <c r="J685" s="540"/>
      <c r="K685" s="405"/>
      <c r="L685" s="405"/>
    </row>
    <row r="686" spans="1:12" s="500" customFormat="1" ht="15" customHeight="1">
      <c r="B686" s="501"/>
      <c r="C686" s="401"/>
      <c r="D686" s="180" t="s">
        <v>271</v>
      </c>
      <c r="E686" s="356" t="s">
        <v>194</v>
      </c>
      <c r="F686" s="266">
        <f>(7342)*H4</f>
        <v>11013000</v>
      </c>
      <c r="G686" s="435">
        <v>6</v>
      </c>
      <c r="H686" s="266">
        <f>+F686*G686</f>
        <v>66078000</v>
      </c>
      <c r="I686" s="404">
        <f>H686*21%</f>
        <v>13876380</v>
      </c>
      <c r="J686" s="404">
        <f>H686+I686</f>
        <v>79954380</v>
      </c>
      <c r="K686" s="405"/>
      <c r="L686" s="405"/>
    </row>
    <row r="687" spans="1:12" s="13" customFormat="1" ht="15" customHeight="1">
      <c r="A687" s="102"/>
      <c r="B687" s="67"/>
      <c r="C687" s="42">
        <f>SUM(C682:C686)</f>
        <v>0</v>
      </c>
      <c r="D687" s="41"/>
      <c r="E687" s="347"/>
      <c r="F687" s="594" t="s">
        <v>17</v>
      </c>
      <c r="G687" s="595"/>
      <c r="H687" s="255">
        <f>SUM(H682:H686)</f>
        <v>140436000</v>
      </c>
      <c r="I687" s="119">
        <f>SUM(I679:I686)</f>
        <v>29491560</v>
      </c>
      <c r="J687" s="119">
        <f>SUM(J679:J686)</f>
        <v>169927560</v>
      </c>
      <c r="K687" s="127"/>
      <c r="L687" s="127"/>
    </row>
    <row r="688" spans="1:12" ht="30" customHeight="1">
      <c r="A688" s="98"/>
      <c r="B688" s="63"/>
      <c r="C688" s="78"/>
      <c r="D688" s="2"/>
      <c r="E688" s="343"/>
      <c r="F688" s="247"/>
      <c r="G688" s="431"/>
      <c r="H688" s="248"/>
      <c r="I688" s="12"/>
      <c r="J688" s="12"/>
      <c r="K688" s="127"/>
      <c r="L688" s="127"/>
    </row>
    <row r="689" spans="1:12" s="13" customFormat="1" ht="15" customHeight="1">
      <c r="A689" s="102"/>
      <c r="B689" s="69"/>
      <c r="C689" s="110">
        <v>16</v>
      </c>
      <c r="D689" s="113" t="s">
        <v>25</v>
      </c>
      <c r="E689" s="344" t="s">
        <v>89</v>
      </c>
      <c r="F689" s="249" t="s">
        <v>38</v>
      </c>
      <c r="G689" s="413" t="s">
        <v>39</v>
      </c>
      <c r="H689" s="250" t="s">
        <v>32</v>
      </c>
      <c r="I689" s="118" t="s">
        <v>55</v>
      </c>
      <c r="J689" s="118" t="s">
        <v>52</v>
      </c>
      <c r="K689" s="127"/>
      <c r="L689" s="127"/>
    </row>
    <row r="690" spans="1:12" s="399" customFormat="1" ht="15" customHeight="1">
      <c r="B690" s="400"/>
      <c r="C690" s="78"/>
      <c r="D690" s="549" t="s">
        <v>172</v>
      </c>
      <c r="E690" s="535"/>
      <c r="F690" s="538"/>
      <c r="G690" s="550"/>
      <c r="H690" s="267"/>
      <c r="I690" s="503"/>
      <c r="J690" s="504"/>
      <c r="K690" s="405"/>
      <c r="L690" s="405"/>
    </row>
    <row r="691" spans="1:12" s="399" customFormat="1" ht="15" customHeight="1">
      <c r="B691" s="400"/>
      <c r="C691" s="78"/>
      <c r="D691" s="521" t="s">
        <v>251</v>
      </c>
      <c r="E691" s="535"/>
      <c r="F691" s="538"/>
      <c r="G691" s="550"/>
      <c r="H691" s="267"/>
      <c r="I691" s="503"/>
      <c r="J691" s="504"/>
      <c r="K691" s="405"/>
      <c r="L691" s="405"/>
    </row>
    <row r="692" spans="1:12" s="500" customFormat="1" ht="15" customHeight="1">
      <c r="B692" s="501"/>
      <c r="C692" s="401"/>
      <c r="D692" s="551" t="s">
        <v>325</v>
      </c>
      <c r="E692" s="402" t="s">
        <v>161</v>
      </c>
      <c r="F692" s="266">
        <f>(5599)*H4</f>
        <v>8398500</v>
      </c>
      <c r="G692" s="435">
        <v>6</v>
      </c>
      <c r="H692" s="266">
        <f>+F692*G692</f>
        <v>50391000</v>
      </c>
      <c r="I692" s="404">
        <f>H692*21%</f>
        <v>10582110</v>
      </c>
      <c r="J692" s="404">
        <f>H692+I692</f>
        <v>60973110</v>
      </c>
      <c r="K692" s="405"/>
      <c r="L692" s="405"/>
    </row>
    <row r="693" spans="1:12" s="13" customFormat="1" ht="15" customHeight="1">
      <c r="A693" s="102"/>
      <c r="B693" s="67"/>
      <c r="C693" s="42">
        <f>SUM(C690:C692)</f>
        <v>0</v>
      </c>
      <c r="D693" s="41"/>
      <c r="E693" s="347"/>
      <c r="F693" s="594" t="s">
        <v>219</v>
      </c>
      <c r="G693" s="595"/>
      <c r="H693" s="255">
        <f>SUM(H690:H692)</f>
        <v>50391000</v>
      </c>
      <c r="I693" s="119">
        <f>SUM(I690:I692)</f>
        <v>10582110</v>
      </c>
      <c r="J693" s="119">
        <f>SUM(J690:J692)</f>
        <v>60973110</v>
      </c>
      <c r="K693" s="127"/>
      <c r="L693" s="127"/>
    </row>
    <row r="694" spans="1:12" ht="30" customHeight="1">
      <c r="A694" s="98"/>
      <c r="B694" s="63"/>
      <c r="D694" s="2"/>
      <c r="E694" s="343"/>
      <c r="F694" s="247"/>
      <c r="G694" s="431"/>
      <c r="H694" s="248"/>
      <c r="I694" s="12"/>
      <c r="J694" s="12"/>
      <c r="K694" s="127"/>
      <c r="L694" s="127"/>
    </row>
    <row r="695" spans="1:12" s="13" customFormat="1" ht="15" customHeight="1">
      <c r="A695" s="102"/>
      <c r="B695" s="69"/>
      <c r="C695" s="110">
        <v>17</v>
      </c>
      <c r="D695" s="113" t="s">
        <v>232</v>
      </c>
      <c r="E695" s="344" t="s">
        <v>73</v>
      </c>
      <c r="F695" s="249" t="s">
        <v>38</v>
      </c>
      <c r="G695" s="413" t="s">
        <v>39</v>
      </c>
      <c r="H695" s="250" t="s">
        <v>52</v>
      </c>
      <c r="I695" s="118" t="s">
        <v>54</v>
      </c>
      <c r="J695" s="118" t="s">
        <v>118</v>
      </c>
      <c r="K695" s="127"/>
      <c r="L695" s="127"/>
    </row>
    <row r="696" spans="1:12" s="399" customFormat="1" ht="18.95" customHeight="1">
      <c r="B696" s="400"/>
      <c r="C696" s="78"/>
      <c r="D696" s="95" t="s">
        <v>221</v>
      </c>
      <c r="E696" s="552"/>
      <c r="F696" s="553"/>
      <c r="G696" s="554"/>
      <c r="H696" s="555"/>
      <c r="I696" s="539"/>
      <c r="J696" s="540"/>
      <c r="K696" s="405"/>
      <c r="L696" s="405"/>
    </row>
    <row r="697" spans="1:12" s="399" customFormat="1" ht="15" customHeight="1">
      <c r="B697" s="400"/>
      <c r="C697" s="78"/>
      <c r="D697" s="522" t="s">
        <v>326</v>
      </c>
      <c r="E697" s="535"/>
      <c r="F697" s="538"/>
      <c r="G697" s="550"/>
      <c r="H697" s="267"/>
      <c r="I697" s="503"/>
      <c r="J697" s="504"/>
      <c r="K697" s="405"/>
      <c r="L697" s="405"/>
    </row>
    <row r="698" spans="1:12" s="399" customFormat="1" ht="15" customHeight="1">
      <c r="B698" s="400"/>
      <c r="C698" s="78"/>
      <c r="D698" s="521" t="s">
        <v>220</v>
      </c>
      <c r="E698" s="535"/>
      <c r="F698" s="538"/>
      <c r="G698" s="550"/>
      <c r="H698" s="267"/>
      <c r="I698" s="503"/>
      <c r="J698" s="504"/>
      <c r="K698" s="405"/>
      <c r="L698" s="405"/>
    </row>
    <row r="699" spans="1:12" s="399" customFormat="1" ht="15" customHeight="1">
      <c r="B699" s="400"/>
      <c r="C699" s="78"/>
      <c r="D699" s="196" t="s">
        <v>253</v>
      </c>
      <c r="E699" s="402" t="s">
        <v>164</v>
      </c>
      <c r="F699" s="266">
        <f>3520*H4</f>
        <v>5280000</v>
      </c>
      <c r="G699" s="434">
        <v>8</v>
      </c>
      <c r="H699" s="265">
        <f>F699*G699</f>
        <v>42240000</v>
      </c>
      <c r="I699" s="404">
        <f>H699*21%</f>
        <v>8870400</v>
      </c>
      <c r="J699" s="404">
        <f>H699+I699</f>
        <v>51110400</v>
      </c>
      <c r="K699" s="405"/>
      <c r="L699" s="405"/>
    </row>
    <row r="700" spans="1:12" s="399" customFormat="1" ht="15" customHeight="1">
      <c r="B700" s="400"/>
      <c r="C700" s="78"/>
      <c r="D700" s="154" t="s">
        <v>173</v>
      </c>
      <c r="E700" s="552"/>
      <c r="F700" s="553"/>
      <c r="G700" s="554"/>
      <c r="H700" s="555"/>
      <c r="I700" s="539"/>
      <c r="J700" s="540"/>
      <c r="K700" s="405"/>
      <c r="L700" s="405"/>
    </row>
    <row r="701" spans="1:12" s="399" customFormat="1" ht="15" customHeight="1">
      <c r="B701" s="400"/>
      <c r="C701" s="78"/>
      <c r="D701" s="596" t="s">
        <v>252</v>
      </c>
      <c r="E701" s="535"/>
      <c r="F701" s="538"/>
      <c r="G701" s="550"/>
      <c r="H701" s="267"/>
      <c r="I701" s="503"/>
      <c r="J701" s="504"/>
      <c r="K701" s="405"/>
      <c r="L701" s="405"/>
    </row>
    <row r="702" spans="1:12" s="399" customFormat="1" ht="15" customHeight="1">
      <c r="B702" s="400"/>
      <c r="C702" s="78"/>
      <c r="D702" s="597"/>
      <c r="E702" s="556"/>
      <c r="F702" s="557"/>
      <c r="G702" s="449"/>
      <c r="H702" s="267"/>
      <c r="I702" s="503"/>
      <c r="J702" s="504"/>
      <c r="K702" s="405"/>
      <c r="L702" s="405"/>
    </row>
    <row r="703" spans="1:12" s="399" customFormat="1" ht="76.5" customHeight="1">
      <c r="B703" s="400"/>
      <c r="C703" s="78"/>
      <c r="D703" s="598"/>
      <c r="E703" s="402" t="s">
        <v>164</v>
      </c>
      <c r="F703" s="266">
        <f>2350000*1.42</f>
        <v>3337000</v>
      </c>
      <c r="G703" s="434">
        <v>9</v>
      </c>
      <c r="H703" s="265">
        <f>F703*G703</f>
        <v>30033000</v>
      </c>
      <c r="I703" s="404">
        <f>H703*21%</f>
        <v>6306930</v>
      </c>
      <c r="J703" s="404">
        <f>H703+I703</f>
        <v>36339930</v>
      </c>
      <c r="K703" s="405"/>
      <c r="L703" s="405"/>
    </row>
    <row r="704" spans="1:12" ht="15" customHeight="1">
      <c r="A704" s="98"/>
      <c r="B704" s="66"/>
      <c r="C704" s="17"/>
      <c r="D704" s="92" t="s">
        <v>105</v>
      </c>
      <c r="E704" s="386"/>
      <c r="F704" s="296"/>
      <c r="G704" s="448"/>
      <c r="H704" s="297"/>
      <c r="I704" s="52"/>
      <c r="J704" s="48"/>
      <c r="K704" s="127"/>
      <c r="L704" s="127"/>
    </row>
    <row r="705" spans="1:13" ht="15" customHeight="1">
      <c r="A705" s="98"/>
      <c r="B705" s="66"/>
      <c r="C705" s="17"/>
      <c r="D705" s="181" t="s">
        <v>284</v>
      </c>
      <c r="E705" s="384"/>
      <c r="F705" s="258"/>
      <c r="G705" s="450"/>
      <c r="H705" s="262"/>
      <c r="I705" s="50"/>
      <c r="J705" s="26"/>
      <c r="K705" s="127"/>
      <c r="L705" s="127"/>
    </row>
    <row r="706" spans="1:13" ht="15" customHeight="1">
      <c r="A706" s="98"/>
      <c r="B706" s="66"/>
      <c r="C706" s="17"/>
      <c r="D706" s="128" t="s">
        <v>222</v>
      </c>
      <c r="E706" s="387"/>
      <c r="F706" s="298"/>
      <c r="G706" s="450"/>
      <c r="H706" s="262"/>
      <c r="I706" s="51"/>
      <c r="J706" s="27"/>
      <c r="K706" s="127"/>
      <c r="L706" s="127"/>
    </row>
    <row r="707" spans="1:13" ht="15" customHeight="1">
      <c r="A707" s="98"/>
      <c r="B707" s="66"/>
      <c r="C707" s="17"/>
      <c r="D707" s="152" t="s">
        <v>223</v>
      </c>
      <c r="E707" s="382" t="s">
        <v>372</v>
      </c>
      <c r="F707" s="283">
        <f>5000*H4</f>
        <v>7500000</v>
      </c>
      <c r="G707" s="315">
        <v>3</v>
      </c>
      <c r="H707" s="252">
        <f>F707*G707</f>
        <v>22500000</v>
      </c>
      <c r="I707" s="31">
        <f>H707*21%</f>
        <v>4725000</v>
      </c>
      <c r="J707" s="31">
        <f>H707+I707</f>
        <v>27225000</v>
      </c>
      <c r="K707" s="127"/>
      <c r="L707" s="127"/>
    </row>
    <row r="708" spans="1:13" ht="15" customHeight="1">
      <c r="A708" s="98"/>
      <c r="B708" s="66"/>
      <c r="C708" s="17"/>
      <c r="D708" s="92" t="s">
        <v>106</v>
      </c>
      <c r="E708" s="386"/>
      <c r="F708" s="296"/>
      <c r="G708" s="448"/>
      <c r="H708" s="297"/>
      <c r="I708" s="50"/>
      <c r="J708" s="26"/>
      <c r="K708" s="127"/>
      <c r="L708" s="127"/>
      <c r="M708" s="109"/>
    </row>
    <row r="709" spans="1:13" ht="15" customHeight="1">
      <c r="A709" s="98"/>
      <c r="B709" s="66"/>
      <c r="C709" s="17"/>
      <c r="D709" s="128" t="s">
        <v>224</v>
      </c>
      <c r="E709" s="384"/>
      <c r="F709" s="258"/>
      <c r="G709" s="450"/>
      <c r="H709" s="262"/>
      <c r="I709" s="50"/>
      <c r="J709" s="26"/>
      <c r="K709" s="127"/>
      <c r="L709" s="127"/>
    </row>
    <row r="710" spans="1:13" ht="15" customHeight="1">
      <c r="A710" s="98"/>
      <c r="B710" s="66"/>
      <c r="C710" s="17"/>
      <c r="D710" s="181" t="s">
        <v>200</v>
      </c>
      <c r="E710" s="382" t="s">
        <v>372</v>
      </c>
      <c r="F710" s="266">
        <f>1300000*1.42</f>
        <v>1846000</v>
      </c>
      <c r="G710" s="315">
        <v>3</v>
      </c>
      <c r="H710" s="252">
        <f>F710*G710</f>
        <v>5538000</v>
      </c>
      <c r="I710" s="31">
        <f>H710*21%</f>
        <v>1162980</v>
      </c>
      <c r="J710" s="31">
        <f>H710+I710</f>
        <v>6700980</v>
      </c>
      <c r="K710" s="127"/>
      <c r="L710" s="127"/>
    </row>
    <row r="711" spans="1:13" ht="15" customHeight="1">
      <c r="A711" s="98"/>
      <c r="B711" s="66"/>
      <c r="C711" s="17"/>
      <c r="D711" s="96" t="s">
        <v>124</v>
      </c>
      <c r="E711" s="380"/>
      <c r="F711" s="558"/>
      <c r="G711" s="448"/>
      <c r="H711" s="252"/>
      <c r="I711" s="55"/>
      <c r="J711" s="30"/>
      <c r="K711" s="127"/>
      <c r="L711" s="127"/>
    </row>
    <row r="712" spans="1:13" ht="15" customHeight="1">
      <c r="A712" s="98"/>
      <c r="B712" s="66"/>
      <c r="C712" s="17"/>
      <c r="D712" s="182" t="s">
        <v>228</v>
      </c>
      <c r="E712" s="349" t="s">
        <v>160</v>
      </c>
      <c r="F712" s="265">
        <f>850000*1.42</f>
        <v>1207000</v>
      </c>
      <c r="G712" s="315">
        <v>1</v>
      </c>
      <c r="H712" s="252">
        <f>+F712*G712</f>
        <v>1207000</v>
      </c>
      <c r="I712" s="31">
        <f>H712*21%</f>
        <v>253470</v>
      </c>
      <c r="J712" s="31">
        <f>H712+I712</f>
        <v>1460470</v>
      </c>
      <c r="K712" s="127"/>
      <c r="L712" s="127"/>
    </row>
    <row r="713" spans="1:13" s="35" customFormat="1" ht="15" customHeight="1">
      <c r="A713" s="103"/>
      <c r="B713" s="71"/>
      <c r="C713" s="18"/>
      <c r="D713" s="91" t="s">
        <v>31</v>
      </c>
      <c r="E713" s="384"/>
      <c r="F713" s="536"/>
      <c r="G713" s="451"/>
      <c r="H713" s="258"/>
      <c r="I713" s="52"/>
      <c r="J713" s="48"/>
      <c r="K713" s="127"/>
      <c r="L713" s="127"/>
    </row>
    <row r="714" spans="1:13" ht="15" customHeight="1">
      <c r="A714" s="98"/>
      <c r="B714" s="66"/>
      <c r="C714" s="17"/>
      <c r="D714" s="181" t="s">
        <v>258</v>
      </c>
      <c r="E714" s="384"/>
      <c r="F714" s="258"/>
      <c r="G714" s="450"/>
      <c r="H714" s="262"/>
      <c r="I714" s="50"/>
      <c r="J714" s="26"/>
      <c r="K714" s="127"/>
      <c r="L714" s="127"/>
    </row>
    <row r="715" spans="1:13" ht="15" customHeight="1">
      <c r="A715" s="98"/>
      <c r="B715" s="66"/>
      <c r="C715" s="17"/>
      <c r="D715" s="181" t="s">
        <v>259</v>
      </c>
      <c r="E715" s="384"/>
      <c r="F715" s="258"/>
      <c r="G715" s="450"/>
      <c r="H715" s="262"/>
      <c r="I715" s="50"/>
      <c r="J715" s="26"/>
      <c r="K715" s="127"/>
      <c r="L715" s="127"/>
    </row>
    <row r="716" spans="1:13" ht="15" customHeight="1">
      <c r="A716" s="98"/>
      <c r="B716" s="66"/>
      <c r="C716" s="17"/>
      <c r="D716" s="128" t="s">
        <v>225</v>
      </c>
      <c r="E716" s="384"/>
      <c r="F716" s="258"/>
      <c r="G716" s="450"/>
      <c r="H716" s="262"/>
      <c r="I716" s="50"/>
      <c r="J716" s="26"/>
      <c r="K716" s="127"/>
      <c r="L716" s="127"/>
    </row>
    <row r="717" spans="1:13" ht="15" customHeight="1">
      <c r="A717" s="98"/>
      <c r="B717" s="66"/>
      <c r="C717" s="17"/>
      <c r="D717" s="128" t="s">
        <v>226</v>
      </c>
      <c r="E717" s="384"/>
      <c r="F717" s="258"/>
      <c r="G717" s="450"/>
      <c r="H717" s="262"/>
      <c r="I717" s="50"/>
      <c r="J717" s="26"/>
      <c r="K717" s="127"/>
      <c r="L717" s="127"/>
    </row>
    <row r="718" spans="1:13" ht="15" customHeight="1">
      <c r="A718" s="98"/>
      <c r="B718" s="66"/>
      <c r="C718" s="17"/>
      <c r="D718" s="128" t="s">
        <v>227</v>
      </c>
      <c r="E718" s="388" t="s">
        <v>372</v>
      </c>
      <c r="F718" s="283">
        <f>1800*H4</f>
        <v>2700000</v>
      </c>
      <c r="G718" s="315">
        <v>8</v>
      </c>
      <c r="H718" s="252">
        <f>F718*G718</f>
        <v>21600000</v>
      </c>
      <c r="I718" s="31">
        <f>H718*21%</f>
        <v>4536000</v>
      </c>
      <c r="J718" s="31">
        <f>H718+I718</f>
        <v>26136000</v>
      </c>
      <c r="K718" s="127"/>
      <c r="L718" s="127"/>
    </row>
    <row r="719" spans="1:13" s="35" customFormat="1" ht="15" customHeight="1">
      <c r="A719" s="103"/>
      <c r="B719" s="71"/>
      <c r="C719" s="18"/>
      <c r="D719" s="91" t="s">
        <v>125</v>
      </c>
      <c r="E719" s="384"/>
      <c r="F719" s="257"/>
      <c r="G719" s="451"/>
      <c r="H719" s="258"/>
      <c r="I719" s="52"/>
      <c r="J719" s="48"/>
      <c r="K719" s="127"/>
      <c r="L719" s="127"/>
    </row>
    <row r="720" spans="1:13" s="35" customFormat="1" ht="15">
      <c r="A720" s="103"/>
      <c r="B720" s="71"/>
      <c r="C720" s="18"/>
      <c r="D720" s="203" t="s">
        <v>296</v>
      </c>
      <c r="E720" s="384"/>
      <c r="F720" s="258"/>
      <c r="G720" s="451"/>
      <c r="H720" s="260"/>
      <c r="I720" s="50"/>
      <c r="J720" s="26"/>
      <c r="K720" s="127"/>
      <c r="L720" s="127"/>
    </row>
    <row r="721" spans="1:12" s="35" customFormat="1" ht="15">
      <c r="A721" s="103"/>
      <c r="B721" s="71"/>
      <c r="C721" s="18"/>
      <c r="D721" s="79"/>
      <c r="E721" s="388" t="s">
        <v>372</v>
      </c>
      <c r="F721" s="266">
        <f>3500*30*1.42</f>
        <v>149100</v>
      </c>
      <c r="G721" s="315">
        <v>8</v>
      </c>
      <c r="H721" s="252">
        <f>F721*G721</f>
        <v>1192800</v>
      </c>
      <c r="I721" s="31">
        <f>H721*21%</f>
        <v>250488</v>
      </c>
      <c r="J721" s="31">
        <f>H721+I721</f>
        <v>1443288</v>
      </c>
      <c r="K721" s="127"/>
      <c r="L721" s="127"/>
    </row>
    <row r="722" spans="1:12" ht="15" customHeight="1">
      <c r="A722" s="98"/>
      <c r="B722" s="66"/>
      <c r="C722" s="17"/>
      <c r="D722" s="96" t="s">
        <v>88</v>
      </c>
      <c r="E722" s="380"/>
      <c r="F722" s="293"/>
      <c r="G722" s="448"/>
      <c r="H722" s="252"/>
      <c r="I722" s="55"/>
      <c r="J722" s="30"/>
      <c r="K722" s="127"/>
      <c r="L722" s="127"/>
    </row>
    <row r="723" spans="1:12" ht="15" customHeight="1">
      <c r="A723" s="98"/>
      <c r="B723" s="66"/>
      <c r="C723" s="17"/>
      <c r="D723" s="183" t="s">
        <v>283</v>
      </c>
      <c r="E723" s="349" t="s">
        <v>23</v>
      </c>
      <c r="F723" s="252">
        <f>1500*H4</f>
        <v>2250000</v>
      </c>
      <c r="G723" s="315">
        <v>15</v>
      </c>
      <c r="H723" s="252">
        <f>+F723*G723</f>
        <v>33750000</v>
      </c>
      <c r="I723" s="31">
        <f t="shared" ref="I723:I727" si="20">H723*21%</f>
        <v>7087500</v>
      </c>
      <c r="J723" s="31">
        <f t="shared" ref="J723:J727" si="21">H723+I723</f>
        <v>40837500</v>
      </c>
      <c r="K723" s="127"/>
      <c r="L723" s="127"/>
    </row>
    <row r="724" spans="1:12" ht="15" customHeight="1">
      <c r="A724" s="98"/>
      <c r="B724" s="66"/>
      <c r="C724" s="17"/>
      <c r="D724" s="183" t="s">
        <v>285</v>
      </c>
      <c r="E724" s="349" t="s">
        <v>23</v>
      </c>
      <c r="F724" s="252">
        <f>700*H4</f>
        <v>1050000</v>
      </c>
      <c r="G724" s="315">
        <v>10</v>
      </c>
      <c r="H724" s="252">
        <f>+F724*G724</f>
        <v>10500000</v>
      </c>
      <c r="I724" s="31">
        <f t="shared" si="20"/>
        <v>2205000</v>
      </c>
      <c r="J724" s="31">
        <f t="shared" si="21"/>
        <v>12705000</v>
      </c>
      <c r="K724" s="127"/>
      <c r="L724" s="127"/>
    </row>
    <row r="725" spans="1:12" ht="15" customHeight="1">
      <c r="A725" s="98"/>
      <c r="B725" s="66"/>
      <c r="C725" s="17"/>
      <c r="D725" s="182" t="s">
        <v>132</v>
      </c>
      <c r="E725" s="349" t="s">
        <v>23</v>
      </c>
      <c r="F725" s="331">
        <f>675000*1.42</f>
        <v>958500</v>
      </c>
      <c r="G725" s="315">
        <v>3</v>
      </c>
      <c r="H725" s="252">
        <f>+F725*G725</f>
        <v>2875500</v>
      </c>
      <c r="I725" s="31">
        <f t="shared" si="20"/>
        <v>603855</v>
      </c>
      <c r="J725" s="31">
        <f t="shared" si="21"/>
        <v>3479355</v>
      </c>
      <c r="K725" s="127"/>
      <c r="L725" s="127"/>
    </row>
    <row r="726" spans="1:12" ht="15" customHeight="1">
      <c r="A726" s="98"/>
      <c r="B726" s="66"/>
      <c r="C726" s="17"/>
      <c r="D726" s="184" t="s">
        <v>9</v>
      </c>
      <c r="E726" s="349" t="s">
        <v>23</v>
      </c>
      <c r="F726" s="265">
        <v>0</v>
      </c>
      <c r="G726" s="315">
        <v>0</v>
      </c>
      <c r="H726" s="252">
        <f>F726*G726</f>
        <v>0</v>
      </c>
      <c r="I726" s="31">
        <f t="shared" si="20"/>
        <v>0</v>
      </c>
      <c r="J726" s="31">
        <f t="shared" si="21"/>
        <v>0</v>
      </c>
      <c r="K726" s="127"/>
      <c r="L726" s="127"/>
    </row>
    <row r="727" spans="1:12" ht="15" customHeight="1">
      <c r="A727" s="98"/>
      <c r="B727" s="66"/>
      <c r="C727" s="17"/>
      <c r="D727" s="185" t="s">
        <v>107</v>
      </c>
      <c r="E727" s="346" t="s">
        <v>108</v>
      </c>
      <c r="F727" s="265">
        <f>2300000*1.42</f>
        <v>3266000</v>
      </c>
      <c r="G727" s="315">
        <v>1</v>
      </c>
      <c r="H727" s="252">
        <f>F727*G727</f>
        <v>3266000</v>
      </c>
      <c r="I727" s="31">
        <f t="shared" si="20"/>
        <v>685860</v>
      </c>
      <c r="J727" s="31">
        <f t="shared" si="21"/>
        <v>3951860</v>
      </c>
      <c r="K727" s="127"/>
      <c r="L727" s="127"/>
    </row>
    <row r="728" spans="1:12" s="13" customFormat="1" ht="15" customHeight="1">
      <c r="A728" s="98"/>
      <c r="B728" s="67"/>
      <c r="C728" s="42">
        <f>SUM(C696:C727)</f>
        <v>0</v>
      </c>
      <c r="D728" s="41"/>
      <c r="E728" s="347"/>
      <c r="F728" s="594" t="s">
        <v>16</v>
      </c>
      <c r="G728" s="595"/>
      <c r="H728" s="255">
        <f>SUM(H699:H727)</f>
        <v>174702300</v>
      </c>
      <c r="I728" s="119">
        <f>SUM(I699:I727)</f>
        <v>36687483</v>
      </c>
      <c r="J728" s="119">
        <f>SUM(J699:J727)</f>
        <v>211389783</v>
      </c>
      <c r="K728" s="127"/>
      <c r="L728" s="127"/>
    </row>
    <row r="729" spans="1:12" ht="30" customHeight="1">
      <c r="A729" s="98"/>
      <c r="B729" s="63"/>
      <c r="D729" s="2"/>
      <c r="E729" s="343"/>
      <c r="F729" s="247"/>
      <c r="G729" s="431"/>
      <c r="H729" s="248"/>
      <c r="I729" s="12"/>
      <c r="J729" s="12"/>
      <c r="K729" s="127"/>
      <c r="L729" s="127"/>
    </row>
    <row r="730" spans="1:12" s="13" customFormat="1" ht="15" customHeight="1">
      <c r="A730" s="98"/>
      <c r="B730" s="69"/>
      <c r="C730" s="110">
        <v>18</v>
      </c>
      <c r="D730" s="113" t="s">
        <v>43</v>
      </c>
      <c r="E730" s="344" t="s">
        <v>73</v>
      </c>
      <c r="F730" s="249" t="s">
        <v>38</v>
      </c>
      <c r="G730" s="413" t="s">
        <v>39</v>
      </c>
      <c r="H730" s="250" t="s">
        <v>52</v>
      </c>
      <c r="I730" s="118" t="s">
        <v>54</v>
      </c>
      <c r="J730" s="118" t="s">
        <v>118</v>
      </c>
      <c r="K730" s="127"/>
      <c r="L730" s="127"/>
    </row>
    <row r="731" spans="1:12" ht="15" customHeight="1">
      <c r="A731" s="98"/>
      <c r="B731" s="66"/>
      <c r="C731" s="3"/>
      <c r="D731" s="90" t="s">
        <v>256</v>
      </c>
      <c r="E731" s="346" t="s">
        <v>108</v>
      </c>
      <c r="F731" s="559">
        <v>6000000</v>
      </c>
      <c r="G731" s="452">
        <v>1</v>
      </c>
      <c r="H731" s="256">
        <f>F731*G731</f>
        <v>6000000</v>
      </c>
      <c r="I731" s="47">
        <f>H731*21%</f>
        <v>1260000</v>
      </c>
      <c r="J731" s="47">
        <f>H731+I731</f>
        <v>7260000</v>
      </c>
      <c r="K731" s="127"/>
      <c r="L731" s="127"/>
    </row>
    <row r="732" spans="1:12" ht="15" customHeight="1">
      <c r="A732" s="98"/>
      <c r="B732" s="66"/>
      <c r="C732" s="3"/>
      <c r="D732" s="178" t="s">
        <v>257</v>
      </c>
      <c r="E732" s="383"/>
      <c r="F732" s="300"/>
      <c r="G732" s="453"/>
      <c r="H732" s="286"/>
      <c r="I732" s="188"/>
      <c r="J732" s="188"/>
      <c r="K732" s="127"/>
      <c r="L732" s="127"/>
    </row>
    <row r="733" spans="1:12" ht="15" customHeight="1">
      <c r="A733" s="98"/>
      <c r="B733" s="66"/>
      <c r="C733" s="3"/>
      <c r="D733" s="90" t="s">
        <v>100</v>
      </c>
      <c r="E733" s="346" t="s">
        <v>108</v>
      </c>
      <c r="F733" s="299">
        <v>0</v>
      </c>
      <c r="G733" s="452">
        <v>1</v>
      </c>
      <c r="H733" s="256">
        <f>F733*G733</f>
        <v>0</v>
      </c>
      <c r="I733" s="47">
        <f>H733*21%</f>
        <v>0</v>
      </c>
      <c r="J733" s="47">
        <f>H733+I733</f>
        <v>0</v>
      </c>
      <c r="K733" s="127"/>
      <c r="L733" s="127"/>
    </row>
    <row r="734" spans="1:12" s="13" customFormat="1" ht="15" customHeight="1">
      <c r="A734" s="98"/>
      <c r="B734" s="67"/>
      <c r="C734" s="42">
        <f>SUM(C731:C733)</f>
        <v>0</v>
      </c>
      <c r="D734" s="41"/>
      <c r="E734" s="347"/>
      <c r="F734" s="594" t="s">
        <v>2</v>
      </c>
      <c r="G734" s="595"/>
      <c r="H734" s="255">
        <f>SUM(H731:H733)</f>
        <v>6000000</v>
      </c>
      <c r="I734" s="119">
        <f>SUM(I731:I733)</f>
        <v>1260000</v>
      </c>
      <c r="J734" s="119">
        <f>SUM(J731:J733)</f>
        <v>7260000</v>
      </c>
      <c r="K734" s="127"/>
      <c r="L734" s="127"/>
    </row>
    <row r="735" spans="1:12" ht="30" customHeight="1">
      <c r="A735" s="98"/>
      <c r="B735" s="63"/>
      <c r="D735" s="171"/>
      <c r="H735" s="290"/>
      <c r="K735" s="127"/>
      <c r="L735" s="127"/>
    </row>
    <row r="736" spans="1:12" s="13" customFormat="1" ht="15" customHeight="1">
      <c r="A736" s="98"/>
      <c r="B736" s="69"/>
      <c r="C736" s="110">
        <v>19</v>
      </c>
      <c r="D736" s="113" t="s">
        <v>34</v>
      </c>
      <c r="E736" s="344" t="s">
        <v>73</v>
      </c>
      <c r="F736" s="249" t="s">
        <v>38</v>
      </c>
      <c r="G736" s="413" t="s">
        <v>39</v>
      </c>
      <c r="H736" s="250" t="s">
        <v>52</v>
      </c>
      <c r="I736" s="118" t="s">
        <v>54</v>
      </c>
      <c r="J736" s="118" t="s">
        <v>118</v>
      </c>
      <c r="K736" s="127"/>
      <c r="L736" s="127"/>
    </row>
    <row r="737" spans="1:12" s="507" customFormat="1" ht="15" customHeight="1">
      <c r="B737" s="512"/>
      <c r="C737" s="560"/>
      <c r="D737" s="154" t="s">
        <v>190</v>
      </c>
      <c r="E737" s="561"/>
      <c r="F737" s="558"/>
      <c r="G737" s="554"/>
      <c r="H737" s="265"/>
      <c r="I737" s="539"/>
      <c r="J737" s="540"/>
      <c r="K737" s="405"/>
      <c r="L737" s="405"/>
    </row>
    <row r="738" spans="1:12" s="500" customFormat="1" ht="15" customHeight="1">
      <c r="B738" s="527"/>
      <c r="C738" s="401"/>
      <c r="D738" s="153"/>
      <c r="E738" s="402" t="s">
        <v>149</v>
      </c>
      <c r="F738" s="295">
        <f>700000*2*1.42</f>
        <v>1988000</v>
      </c>
      <c r="G738" s="435">
        <v>8</v>
      </c>
      <c r="H738" s="266">
        <f>+F738*G738</f>
        <v>15904000</v>
      </c>
      <c r="I738" s="509">
        <f>H738*21%</f>
        <v>3339840</v>
      </c>
      <c r="J738" s="404">
        <f>H738+I738</f>
        <v>19243840</v>
      </c>
      <c r="K738" s="405"/>
      <c r="L738" s="405"/>
    </row>
    <row r="739" spans="1:12" s="507" customFormat="1" ht="15" customHeight="1">
      <c r="A739" s="399"/>
      <c r="B739" s="512"/>
      <c r="C739" s="513">
        <v>2</v>
      </c>
      <c r="D739" s="154" t="s">
        <v>6</v>
      </c>
      <c r="E739" s="561"/>
      <c r="F739" s="558"/>
      <c r="G739" s="554"/>
      <c r="H739" s="265"/>
      <c r="I739" s="562"/>
      <c r="J739" s="563"/>
      <c r="K739" s="405"/>
      <c r="L739" s="405"/>
    </row>
    <row r="740" spans="1:12" s="399" customFormat="1" ht="15" customHeight="1">
      <c r="B740" s="400"/>
      <c r="C740" s="513"/>
      <c r="D740" s="177" t="s">
        <v>288</v>
      </c>
      <c r="E740" s="355" t="s">
        <v>40</v>
      </c>
      <c r="F740" s="329">
        <f>500000*1.42</f>
        <v>710000</v>
      </c>
      <c r="G740" s="564">
        <v>8</v>
      </c>
      <c r="H740" s="559">
        <f>+F740*G740</f>
        <v>5680000</v>
      </c>
      <c r="I740" s="404"/>
      <c r="J740" s="404">
        <f>SUM(H740)</f>
        <v>5680000</v>
      </c>
      <c r="K740" s="405"/>
      <c r="L740" s="405"/>
    </row>
    <row r="741" spans="1:12" s="399" customFormat="1" ht="15" customHeight="1">
      <c r="B741" s="400"/>
      <c r="C741" s="513"/>
      <c r="D741" s="177" t="s">
        <v>287</v>
      </c>
      <c r="E741" s="356" t="s">
        <v>58</v>
      </c>
      <c r="F741" s="329">
        <f>270000*1.42</f>
        <v>383400</v>
      </c>
      <c r="G741" s="564">
        <v>5</v>
      </c>
      <c r="H741" s="559">
        <f>+F741*G741</f>
        <v>1917000</v>
      </c>
      <c r="I741" s="404"/>
      <c r="J741" s="404">
        <f>+H741+I741</f>
        <v>1917000</v>
      </c>
      <c r="K741" s="405"/>
      <c r="L741" s="405"/>
    </row>
    <row r="742" spans="1:12" s="399" customFormat="1" ht="15" customHeight="1">
      <c r="B742" s="400"/>
      <c r="C742" s="513"/>
      <c r="D742" s="177" t="s">
        <v>286</v>
      </c>
      <c r="E742" s="356" t="s">
        <v>58</v>
      </c>
      <c r="F742" s="329">
        <f>750000*1.42</f>
        <v>1065000</v>
      </c>
      <c r="G742" s="564">
        <v>12</v>
      </c>
      <c r="H742" s="559">
        <f>+G742*F742</f>
        <v>12780000</v>
      </c>
      <c r="I742" s="404">
        <f>+H742*21%</f>
        <v>2683800</v>
      </c>
      <c r="J742" s="404">
        <f>+I742+H742</f>
        <v>15463800</v>
      </c>
      <c r="K742" s="405"/>
      <c r="L742" s="405"/>
    </row>
    <row r="743" spans="1:12" s="399" customFormat="1" ht="15" customHeight="1">
      <c r="B743" s="400"/>
      <c r="C743" s="513"/>
      <c r="D743" s="177" t="s">
        <v>273</v>
      </c>
      <c r="E743" s="356" t="s">
        <v>58</v>
      </c>
      <c r="F743" s="268">
        <f>260000*2*1.42</f>
        <v>738400</v>
      </c>
      <c r="G743" s="564">
        <v>16</v>
      </c>
      <c r="H743" s="559">
        <f>+G743*F743</f>
        <v>11814400</v>
      </c>
      <c r="I743" s="404">
        <f>+H743*21%</f>
        <v>2481024</v>
      </c>
      <c r="J743" s="404">
        <f>+I743+H743</f>
        <v>14295424</v>
      </c>
      <c r="K743" s="405"/>
      <c r="L743" s="405"/>
    </row>
    <row r="744" spans="1:12" s="399" customFormat="1" ht="15" customHeight="1">
      <c r="B744" s="400"/>
      <c r="C744" s="513"/>
      <c r="D744" s="177" t="s">
        <v>290</v>
      </c>
      <c r="E744" s="356" t="s">
        <v>58</v>
      </c>
      <c r="F744" s="329">
        <f>500000*1.42</f>
        <v>710000</v>
      </c>
      <c r="G744" s="564">
        <v>3.5</v>
      </c>
      <c r="H744" s="565">
        <f>+F744*G744</f>
        <v>2485000</v>
      </c>
      <c r="I744" s="404"/>
      <c r="J744" s="404">
        <f>SUM(H744)</f>
        <v>2485000</v>
      </c>
      <c r="K744" s="405"/>
      <c r="L744" s="405"/>
    </row>
    <row r="745" spans="1:12" s="399" customFormat="1" ht="15" customHeight="1">
      <c r="B745" s="400"/>
      <c r="C745" s="513"/>
      <c r="D745" s="192" t="s">
        <v>289</v>
      </c>
      <c r="E745" s="356" t="s">
        <v>58</v>
      </c>
      <c r="F745" s="559">
        <v>0</v>
      </c>
      <c r="G745" s="564">
        <v>3.5</v>
      </c>
      <c r="H745" s="559">
        <f>+F745*G745</f>
        <v>0</v>
      </c>
      <c r="I745" s="404"/>
      <c r="J745" s="404">
        <f>SUM(H745)</f>
        <v>0</v>
      </c>
      <c r="K745" s="405"/>
      <c r="L745" s="405"/>
    </row>
    <row r="746" spans="1:12" s="507" customFormat="1" ht="15" customHeight="1">
      <c r="A746" s="399"/>
      <c r="B746" s="512"/>
      <c r="C746" s="513">
        <v>3</v>
      </c>
      <c r="D746" s="154" t="s">
        <v>3</v>
      </c>
      <c r="E746" s="561"/>
      <c r="F746" s="558"/>
      <c r="G746" s="554"/>
      <c r="H746" s="265"/>
      <c r="I746" s="518"/>
      <c r="J746" s="519"/>
      <c r="K746" s="405"/>
      <c r="L746" s="405"/>
    </row>
    <row r="747" spans="1:12" s="399" customFormat="1" ht="15" customHeight="1">
      <c r="B747" s="400"/>
      <c r="C747" s="513"/>
      <c r="D747" s="153" t="s">
        <v>133</v>
      </c>
      <c r="E747" s="355" t="s">
        <v>40</v>
      </c>
      <c r="F747" s="329">
        <f>900000*1.42</f>
        <v>1278000</v>
      </c>
      <c r="G747" s="564">
        <v>8</v>
      </c>
      <c r="H747" s="559">
        <f>+F747*G747</f>
        <v>10224000</v>
      </c>
      <c r="I747" s="404">
        <f>+H747*21%</f>
        <v>2147040</v>
      </c>
      <c r="J747" s="404">
        <f>+I747+H747</f>
        <v>12371040</v>
      </c>
      <c r="K747" s="405"/>
      <c r="L747" s="405"/>
    </row>
    <row r="748" spans="1:12" s="399" customFormat="1" ht="15" customHeight="1">
      <c r="B748" s="400"/>
      <c r="C748" s="513"/>
      <c r="D748" s="153" t="s">
        <v>201</v>
      </c>
      <c r="E748" s="355" t="s">
        <v>40</v>
      </c>
      <c r="F748" s="329">
        <f>700000*1.42</f>
        <v>994000</v>
      </c>
      <c r="G748" s="564">
        <v>8</v>
      </c>
      <c r="H748" s="559">
        <f>+G748*F748</f>
        <v>7952000</v>
      </c>
      <c r="I748" s="404">
        <f t="shared" ref="I748:I749" si="22">+H748*21%</f>
        <v>1669920</v>
      </c>
      <c r="J748" s="404">
        <f t="shared" ref="J748:J749" si="23">+I748+H748</f>
        <v>9621920</v>
      </c>
      <c r="K748" s="405"/>
      <c r="L748" s="405"/>
    </row>
    <row r="749" spans="1:12" s="399" customFormat="1" ht="15" customHeight="1">
      <c r="B749" s="400"/>
      <c r="C749" s="513"/>
      <c r="D749" s="153" t="s">
        <v>121</v>
      </c>
      <c r="E749" s="355" t="s">
        <v>40</v>
      </c>
      <c r="F749" s="329">
        <f>1250000*1.42</f>
        <v>1775000</v>
      </c>
      <c r="G749" s="564">
        <v>9</v>
      </c>
      <c r="H749" s="559">
        <f>+G749*F749</f>
        <v>15975000</v>
      </c>
      <c r="I749" s="404">
        <f t="shared" si="22"/>
        <v>3354750</v>
      </c>
      <c r="J749" s="404">
        <f t="shared" si="23"/>
        <v>19329750</v>
      </c>
      <c r="K749" s="405"/>
      <c r="L749" s="405"/>
    </row>
    <row r="750" spans="1:12" s="399" customFormat="1" ht="15" customHeight="1">
      <c r="B750" s="400"/>
      <c r="C750" s="513"/>
      <c r="D750" s="566"/>
      <c r="E750" s="356" t="s">
        <v>72</v>
      </c>
      <c r="F750" s="329">
        <v>0</v>
      </c>
      <c r="G750" s="564">
        <v>0</v>
      </c>
      <c r="H750" s="559">
        <f>SUM(H747:H749)</f>
        <v>34151000</v>
      </c>
      <c r="I750" s="404">
        <f>+H750*21%</f>
        <v>7171710</v>
      </c>
      <c r="J750" s="404">
        <f>+H750+I750</f>
        <v>41322710</v>
      </c>
      <c r="K750" s="405"/>
      <c r="L750" s="405"/>
    </row>
    <row r="751" spans="1:12" s="24" customFormat="1" ht="15" customHeight="1">
      <c r="A751" s="98"/>
      <c r="B751" s="72"/>
      <c r="C751" s="23"/>
      <c r="D751" s="92" t="s">
        <v>4</v>
      </c>
      <c r="E751" s="380"/>
      <c r="F751" s="293"/>
      <c r="G751" s="448"/>
      <c r="H751" s="252"/>
      <c r="I751" s="53"/>
      <c r="J751" s="54"/>
      <c r="K751" s="127"/>
      <c r="L751" s="127"/>
    </row>
    <row r="752" spans="1:12" ht="15" customHeight="1">
      <c r="A752" s="98"/>
      <c r="B752" s="66"/>
      <c r="C752" s="3"/>
      <c r="D752" s="4" t="s">
        <v>27</v>
      </c>
      <c r="E752" s="349" t="s">
        <v>28</v>
      </c>
      <c r="F752" s="301">
        <v>0</v>
      </c>
      <c r="G752" s="443">
        <v>0</v>
      </c>
      <c r="H752" s="256">
        <f>+G752*F752</f>
        <v>0</v>
      </c>
      <c r="I752" s="31"/>
      <c r="J752" s="31">
        <f>SUM(H751:H752)</f>
        <v>0</v>
      </c>
      <c r="K752" s="127"/>
      <c r="L752" s="127"/>
    </row>
    <row r="753" spans="1:13" ht="15" customHeight="1">
      <c r="A753" s="98"/>
      <c r="B753" s="66"/>
      <c r="C753" s="3"/>
      <c r="D753" s="4" t="s">
        <v>29</v>
      </c>
      <c r="E753" s="349" t="s">
        <v>28</v>
      </c>
      <c r="F753" s="301">
        <v>0</v>
      </c>
      <c r="G753" s="443">
        <v>0</v>
      </c>
      <c r="H753" s="256">
        <f>+G753*F753</f>
        <v>0</v>
      </c>
      <c r="I753" s="31"/>
      <c r="J753" s="31">
        <f>SUM(H752:H753)</f>
        <v>0</v>
      </c>
      <c r="K753" s="127"/>
      <c r="L753" s="127"/>
    </row>
    <row r="754" spans="1:13" s="24" customFormat="1" ht="15" customHeight="1">
      <c r="A754" s="98"/>
      <c r="B754" s="72"/>
      <c r="C754" s="23"/>
      <c r="D754" s="92" t="s">
        <v>101</v>
      </c>
      <c r="E754" s="380"/>
      <c r="F754" s="293"/>
      <c r="G754" s="448"/>
      <c r="H754" s="252"/>
      <c r="I754" s="53"/>
      <c r="J754" s="54"/>
      <c r="K754" s="127"/>
      <c r="L754" s="127"/>
    </row>
    <row r="755" spans="1:13" ht="15" customHeight="1">
      <c r="A755" s="98"/>
      <c r="B755" s="66"/>
      <c r="C755" s="3"/>
      <c r="D755" s="4" t="s">
        <v>102</v>
      </c>
      <c r="E755" s="346" t="s">
        <v>108</v>
      </c>
      <c r="F755" s="301">
        <v>0</v>
      </c>
      <c r="G755" s="443">
        <v>0</v>
      </c>
      <c r="H755" s="256">
        <f>F755*G755</f>
        <v>0</v>
      </c>
      <c r="I755" s="31"/>
      <c r="J755" s="31">
        <f>SUM(H754:H755)</f>
        <v>0</v>
      </c>
      <c r="K755" s="127"/>
      <c r="L755" s="127"/>
    </row>
    <row r="756" spans="1:13" ht="15" customHeight="1">
      <c r="A756" s="98"/>
      <c r="B756" s="66"/>
      <c r="C756" s="3"/>
      <c r="D756" s="4" t="s">
        <v>62</v>
      </c>
      <c r="E756" s="349" t="s">
        <v>28</v>
      </c>
      <c r="F756" s="301">
        <v>0</v>
      </c>
      <c r="G756" s="443">
        <v>0</v>
      </c>
      <c r="H756" s="256">
        <f>F756*G756</f>
        <v>0</v>
      </c>
      <c r="I756" s="31"/>
      <c r="J756" s="31">
        <f>SUM(H755:H756)</f>
        <v>0</v>
      </c>
      <c r="K756" s="127"/>
      <c r="L756" s="127"/>
    </row>
    <row r="757" spans="1:13" s="24" customFormat="1" ht="15" customHeight="1">
      <c r="A757" s="98"/>
      <c r="B757" s="72"/>
      <c r="C757" s="23"/>
      <c r="D757" s="154" t="s">
        <v>51</v>
      </c>
      <c r="E757" s="380"/>
      <c r="F757" s="293"/>
      <c r="G757" s="448"/>
      <c r="H757" s="252"/>
      <c r="I757" s="53"/>
      <c r="J757" s="54"/>
      <c r="K757" s="127"/>
      <c r="L757" s="127"/>
    </row>
    <row r="758" spans="1:13" s="399" customFormat="1" ht="15" customHeight="1">
      <c r="B758" s="400"/>
      <c r="C758" s="513"/>
      <c r="D758" s="153" t="s">
        <v>122</v>
      </c>
      <c r="E758" s="402" t="s">
        <v>327</v>
      </c>
      <c r="F758" s="329">
        <f>570000*1.42</f>
        <v>809400</v>
      </c>
      <c r="G758" s="564">
        <v>8</v>
      </c>
      <c r="H758" s="559">
        <f>+G758*F758</f>
        <v>6475200</v>
      </c>
      <c r="I758" s="404">
        <f>H758*21%</f>
        <v>1359792</v>
      </c>
      <c r="J758" s="404">
        <f>H758+I758</f>
        <v>7834992</v>
      </c>
      <c r="K758" s="405"/>
      <c r="L758" s="405"/>
    </row>
    <row r="759" spans="1:13" ht="15" customHeight="1">
      <c r="A759" s="98"/>
      <c r="B759" s="66"/>
      <c r="C759" s="3"/>
      <c r="D759" s="173" t="s">
        <v>291</v>
      </c>
      <c r="E759" s="385" t="s">
        <v>23</v>
      </c>
      <c r="F759" s="301"/>
      <c r="G759" s="443">
        <v>10</v>
      </c>
      <c r="H759" s="256">
        <f>+G759*F759</f>
        <v>0</v>
      </c>
      <c r="I759" s="31">
        <f>H759*21%</f>
        <v>0</v>
      </c>
      <c r="J759" s="31">
        <f>H759+I759</f>
        <v>0</v>
      </c>
      <c r="K759" s="127"/>
      <c r="L759" s="127"/>
    </row>
    <row r="760" spans="1:13" s="24" customFormat="1" ht="15" customHeight="1">
      <c r="A760" s="98"/>
      <c r="B760" s="72"/>
      <c r="C760" s="23"/>
      <c r="D760" s="92" t="s">
        <v>88</v>
      </c>
      <c r="E760" s="380"/>
      <c r="F760" s="293"/>
      <c r="G760" s="448"/>
      <c r="H760" s="252"/>
      <c r="I760" s="53"/>
      <c r="J760" s="54"/>
      <c r="K760" s="127"/>
      <c r="L760" s="127"/>
    </row>
    <row r="761" spans="1:13" ht="15" customHeight="1">
      <c r="A761" s="98"/>
      <c r="B761" s="66"/>
      <c r="C761" s="3"/>
      <c r="D761" s="4" t="s">
        <v>98</v>
      </c>
      <c r="E761" s="346" t="s">
        <v>108</v>
      </c>
      <c r="F761" s="301">
        <v>0</v>
      </c>
      <c r="G761" s="443">
        <v>0</v>
      </c>
      <c r="H761" s="256">
        <f>F761*G761</f>
        <v>0</v>
      </c>
      <c r="I761" s="31">
        <f>SUM(H760:H761)*21%</f>
        <v>0</v>
      </c>
      <c r="J761" s="31">
        <f>SUM(H760:H761)+I761</f>
        <v>0</v>
      </c>
      <c r="K761" s="127"/>
      <c r="L761" s="127"/>
    </row>
    <row r="762" spans="1:13" ht="15" customHeight="1">
      <c r="A762" s="98"/>
      <c r="B762" s="66"/>
      <c r="C762" s="3"/>
      <c r="D762" s="6" t="s">
        <v>103</v>
      </c>
      <c r="E762" s="346" t="s">
        <v>108</v>
      </c>
      <c r="F762" s="301">
        <v>0</v>
      </c>
      <c r="G762" s="443">
        <v>0</v>
      </c>
      <c r="H762" s="302">
        <f>+G762*F762</f>
        <v>0</v>
      </c>
      <c r="I762" s="31">
        <f>SUM(H761:H762)*21%</f>
        <v>0</v>
      </c>
      <c r="J762" s="31">
        <f>SUM(H761:H762)+I762</f>
        <v>0</v>
      </c>
      <c r="K762" s="127"/>
      <c r="L762" s="127"/>
    </row>
    <row r="763" spans="1:13" s="13" customFormat="1" ht="15" customHeight="1">
      <c r="A763" s="98"/>
      <c r="B763" s="67"/>
      <c r="C763" s="42">
        <f>SUM(C739:C762)</f>
        <v>5</v>
      </c>
      <c r="D763" s="41"/>
      <c r="E763" s="347"/>
      <c r="F763" s="594" t="s">
        <v>229</v>
      </c>
      <c r="G763" s="595"/>
      <c r="H763" s="255">
        <f>SUM(H762+H761+H759+H758+H756+H755+H753+H752+H750+H745+H744+H743+H742+H741+H740+H738)</f>
        <v>91206600</v>
      </c>
      <c r="I763" s="119">
        <f>SUM(I762+I761+I759+I758+I756+I755+I753+I752+I750+I745+I744+I743+I742+I741+I738)</f>
        <v>17036166</v>
      </c>
      <c r="J763" s="119">
        <f>SUM(J762+J761+J759+J758+J756+J755+J753+J752+J750+J745+J744+J743+J742+J741+J740+J738)</f>
        <v>108242766</v>
      </c>
      <c r="K763" s="127"/>
      <c r="L763" s="127"/>
    </row>
    <row r="764" spans="1:13" ht="30" customHeight="1">
      <c r="A764" s="98"/>
      <c r="B764" s="63"/>
      <c r="D764" s="2"/>
      <c r="E764" s="343"/>
      <c r="F764" s="247"/>
      <c r="G764" s="431"/>
      <c r="H764" s="248"/>
      <c r="I764" s="12"/>
      <c r="J764" s="12"/>
      <c r="K764" s="127"/>
      <c r="L764" s="127"/>
    </row>
    <row r="765" spans="1:13" s="13" customFormat="1" ht="15" customHeight="1">
      <c r="A765" s="98"/>
      <c r="B765" s="69"/>
      <c r="C765" s="110">
        <v>20</v>
      </c>
      <c r="D765" s="113" t="s">
        <v>33</v>
      </c>
      <c r="E765" s="344" t="s">
        <v>73</v>
      </c>
      <c r="F765" s="249" t="s">
        <v>38</v>
      </c>
      <c r="G765" s="413" t="s">
        <v>39</v>
      </c>
      <c r="H765" s="250" t="s">
        <v>52</v>
      </c>
      <c r="I765" s="118" t="s">
        <v>54</v>
      </c>
      <c r="J765" s="118" t="s">
        <v>118</v>
      </c>
      <c r="K765" s="127"/>
      <c r="L765" s="127"/>
    </row>
    <row r="766" spans="1:13" ht="15" customHeight="1">
      <c r="A766" s="98"/>
      <c r="B766" s="66"/>
      <c r="C766" s="17"/>
      <c r="D766" s="90" t="s">
        <v>134</v>
      </c>
      <c r="E766" s="342"/>
      <c r="F766" s="246"/>
      <c r="G766" s="448"/>
      <c r="H766" s="297"/>
      <c r="I766" s="50"/>
      <c r="J766" s="26"/>
      <c r="K766" s="127"/>
      <c r="L766" s="127"/>
    </row>
    <row r="767" spans="1:13" ht="15" customHeight="1">
      <c r="A767" s="98"/>
      <c r="B767" s="66"/>
      <c r="C767" s="17"/>
      <c r="D767" s="173" t="s">
        <v>292</v>
      </c>
      <c r="E767" s="342"/>
      <c r="F767" s="246"/>
      <c r="G767" s="450"/>
      <c r="H767" s="262"/>
      <c r="I767" s="50"/>
      <c r="J767" s="26"/>
      <c r="K767" s="127"/>
      <c r="L767" s="127"/>
    </row>
    <row r="768" spans="1:13" s="399" customFormat="1" ht="15" customHeight="1">
      <c r="B768" s="400"/>
      <c r="C768" s="78"/>
      <c r="D768" s="532"/>
      <c r="E768" s="356" t="s">
        <v>198</v>
      </c>
      <c r="F768" s="266">
        <f>3100*H4</f>
        <v>4650000</v>
      </c>
      <c r="G768" s="434">
        <v>8</v>
      </c>
      <c r="H768" s="265">
        <f>F768*G768</f>
        <v>37200000</v>
      </c>
      <c r="I768" s="404">
        <f>H768*21%</f>
        <v>7812000</v>
      </c>
      <c r="J768" s="404">
        <f>H768+I768</f>
        <v>45012000</v>
      </c>
      <c r="K768" s="405"/>
      <c r="L768" s="405"/>
      <c r="M768" s="567"/>
    </row>
    <row r="769" spans="1:12" s="500" customFormat="1" ht="15" customHeight="1">
      <c r="A769" s="399"/>
      <c r="B769" s="501"/>
      <c r="C769" s="78"/>
      <c r="D769" s="510" t="s">
        <v>68</v>
      </c>
      <c r="E769" s="356" t="s">
        <v>164</v>
      </c>
      <c r="F769" s="266">
        <f>50000*1.42</f>
        <v>71000</v>
      </c>
      <c r="G769" s="435">
        <v>8</v>
      </c>
      <c r="H769" s="266">
        <f>+F769*G769</f>
        <v>568000</v>
      </c>
      <c r="I769" s="404">
        <f>H769*21%</f>
        <v>119280</v>
      </c>
      <c r="J769" s="404">
        <f>H769+I769</f>
        <v>687280</v>
      </c>
      <c r="K769" s="405"/>
      <c r="L769" s="405"/>
    </row>
    <row r="770" spans="1:12" s="399" customFormat="1" ht="15" customHeight="1">
      <c r="B770" s="400"/>
      <c r="C770" s="78"/>
      <c r="D770" s="155" t="s">
        <v>18</v>
      </c>
      <c r="E770" s="561" t="s">
        <v>35</v>
      </c>
      <c r="F770" s="558"/>
      <c r="G770" s="554"/>
      <c r="H770" s="265"/>
      <c r="I770" s="568"/>
      <c r="J770" s="569"/>
      <c r="K770" s="405"/>
      <c r="L770" s="405"/>
    </row>
    <row r="771" spans="1:12" s="399" customFormat="1" ht="15" customHeight="1">
      <c r="B771" s="400"/>
      <c r="C771" s="78"/>
      <c r="D771" s="570" t="s">
        <v>260</v>
      </c>
      <c r="E771" s="402" t="s">
        <v>164</v>
      </c>
      <c r="F771" s="265">
        <f>40000*1.42</f>
        <v>56800</v>
      </c>
      <c r="G771" s="434">
        <v>12</v>
      </c>
      <c r="H771" s="265">
        <f>+F771*G771</f>
        <v>681600</v>
      </c>
      <c r="I771" s="404">
        <f>H771*21%</f>
        <v>143136</v>
      </c>
      <c r="J771" s="404">
        <f>H771+I771</f>
        <v>824736</v>
      </c>
      <c r="K771" s="405"/>
      <c r="L771" s="405"/>
    </row>
    <row r="772" spans="1:12" s="573" customFormat="1" ht="15" customHeight="1">
      <c r="A772" s="399"/>
      <c r="B772" s="571"/>
      <c r="C772" s="42">
        <f>SUM(C766:C771)</f>
        <v>0</v>
      </c>
      <c r="D772" s="142"/>
      <c r="E772" s="392"/>
      <c r="F772" s="611" t="s">
        <v>1</v>
      </c>
      <c r="G772" s="612"/>
      <c r="H772" s="255">
        <f>SUM(H771+H769+H768)</f>
        <v>38449600</v>
      </c>
      <c r="I772" s="572">
        <f>SUM(I771+I769+I768)</f>
        <v>8074416</v>
      </c>
      <c r="J772" s="572">
        <f>SUM(J771+J769+J768)</f>
        <v>46524016</v>
      </c>
      <c r="K772" s="405"/>
      <c r="L772" s="405"/>
    </row>
    <row r="773" spans="1:12" ht="30" customHeight="1">
      <c r="A773" s="98"/>
      <c r="B773" s="63"/>
      <c r="D773" s="2"/>
      <c r="E773" s="343"/>
      <c r="F773" s="247"/>
      <c r="G773" s="431"/>
      <c r="H773" s="248"/>
      <c r="I773" s="12"/>
      <c r="J773" s="12"/>
      <c r="K773" s="127"/>
      <c r="L773" s="127"/>
    </row>
    <row r="774" spans="1:12" s="13" customFormat="1" ht="15" customHeight="1">
      <c r="A774" s="98"/>
      <c r="B774" s="69"/>
      <c r="C774" s="110">
        <v>21</v>
      </c>
      <c r="D774" s="113" t="s">
        <v>231</v>
      </c>
      <c r="E774" s="344" t="s">
        <v>73</v>
      </c>
      <c r="F774" s="249" t="s">
        <v>38</v>
      </c>
      <c r="G774" s="413" t="s">
        <v>39</v>
      </c>
      <c r="H774" s="250" t="s">
        <v>52</v>
      </c>
      <c r="I774" s="118" t="s">
        <v>54</v>
      </c>
      <c r="J774" s="118" t="s">
        <v>118</v>
      </c>
      <c r="K774" s="127"/>
      <c r="L774" s="127"/>
    </row>
    <row r="775" spans="1:12" s="8" customFormat="1" ht="15" customHeight="1">
      <c r="A775" s="98"/>
      <c r="B775" s="66"/>
      <c r="C775" s="17"/>
      <c r="D775" s="92" t="s">
        <v>128</v>
      </c>
      <c r="E775" s="389" t="s">
        <v>94</v>
      </c>
      <c r="F775" s="303"/>
      <c r="G775" s="418" t="s">
        <v>115</v>
      </c>
      <c r="H775" s="304"/>
      <c r="I775" s="52"/>
      <c r="J775" s="48"/>
      <c r="K775" s="127"/>
      <c r="L775" s="127"/>
    </row>
    <row r="776" spans="1:12" s="399" customFormat="1" ht="15" customHeight="1">
      <c r="B776" s="400"/>
      <c r="C776" s="78"/>
      <c r="D776" s="574" t="s">
        <v>114</v>
      </c>
      <c r="E776" s="575">
        <v>45</v>
      </c>
      <c r="F776" s="403">
        <f>35000</f>
        <v>35000</v>
      </c>
      <c r="G776" s="576">
        <v>40</v>
      </c>
      <c r="H776" s="265">
        <f>+E776*F776*G776</f>
        <v>63000000</v>
      </c>
      <c r="I776" s="404">
        <f>H776*21%</f>
        <v>13230000</v>
      </c>
      <c r="J776" s="404">
        <f>I776+H776</f>
        <v>76230000</v>
      </c>
      <c r="K776" s="405"/>
      <c r="L776" s="405"/>
    </row>
    <row r="777" spans="1:12" s="399" customFormat="1" ht="15" customHeight="1">
      <c r="B777" s="400"/>
      <c r="C777" s="78"/>
      <c r="D777" s="577"/>
      <c r="E777" s="578"/>
      <c r="F777" s="265"/>
      <c r="G777" s="434"/>
      <c r="H777" s="265"/>
      <c r="I777" s="404"/>
      <c r="J777" s="404"/>
      <c r="K777" s="405"/>
      <c r="L777" s="405"/>
    </row>
    <row r="778" spans="1:12" s="507" customFormat="1" ht="15" customHeight="1">
      <c r="A778" s="399"/>
      <c r="B778" s="512"/>
      <c r="C778" s="560"/>
      <c r="D778" s="154" t="s">
        <v>88</v>
      </c>
      <c r="E778" s="561"/>
      <c r="F778" s="558"/>
      <c r="G778" s="554"/>
      <c r="H778" s="265"/>
      <c r="I778" s="404"/>
      <c r="J778" s="404"/>
      <c r="K778" s="405"/>
      <c r="L778" s="405"/>
    </row>
    <row r="779" spans="1:12" s="399" customFormat="1" ht="15" customHeight="1">
      <c r="B779" s="400"/>
      <c r="C779" s="78"/>
      <c r="D779" s="153" t="s">
        <v>202</v>
      </c>
      <c r="E779" s="402" t="s">
        <v>108</v>
      </c>
      <c r="F779" s="265">
        <f>16000*10</f>
        <v>160000</v>
      </c>
      <c r="G779" s="434">
        <v>26</v>
      </c>
      <c r="H779" s="265">
        <f>F779*G779</f>
        <v>4160000</v>
      </c>
      <c r="I779" s="404">
        <v>0</v>
      </c>
      <c r="J779" s="404">
        <f>SUM(H779)+I779</f>
        <v>4160000</v>
      </c>
      <c r="K779" s="405"/>
      <c r="L779" s="405"/>
    </row>
    <row r="780" spans="1:12" s="399" customFormat="1" ht="15" customHeight="1">
      <c r="B780" s="400"/>
      <c r="C780" s="78"/>
      <c r="D780" s="579" t="s">
        <v>272</v>
      </c>
      <c r="E780" s="542" t="s">
        <v>108</v>
      </c>
      <c r="F780" s="265">
        <f>16000*15</f>
        <v>240000</v>
      </c>
      <c r="G780" s="434">
        <v>15</v>
      </c>
      <c r="H780" s="265">
        <f>F780*G780</f>
        <v>3600000</v>
      </c>
      <c r="I780" s="404">
        <v>0</v>
      </c>
      <c r="J780" s="404">
        <f>SUM(H780)+I780</f>
        <v>3600000</v>
      </c>
      <c r="K780" s="405"/>
      <c r="L780" s="405"/>
    </row>
    <row r="781" spans="1:12" s="13" customFormat="1" ht="15" customHeight="1">
      <c r="A781" s="98"/>
      <c r="B781" s="67"/>
      <c r="C781" s="42">
        <f>SUM(C775:C780)</f>
        <v>0</v>
      </c>
      <c r="D781" s="41"/>
      <c r="E781" s="347"/>
      <c r="F781" s="594" t="s">
        <v>0</v>
      </c>
      <c r="G781" s="595"/>
      <c r="H781" s="255">
        <f>SUM(H776:H780)</f>
        <v>70760000</v>
      </c>
      <c r="I781" s="119">
        <f>SUM(I775:I780)</f>
        <v>13230000</v>
      </c>
      <c r="J781" s="119">
        <f>SUM(J775:J780)</f>
        <v>83990000</v>
      </c>
      <c r="K781" s="127"/>
      <c r="L781" s="127"/>
    </row>
    <row r="782" spans="1:12" ht="30" customHeight="1">
      <c r="A782" s="98"/>
      <c r="B782" s="63"/>
      <c r="D782" s="2"/>
      <c r="E782" s="343"/>
      <c r="F782" s="247"/>
      <c r="G782" s="431"/>
      <c r="H782" s="248"/>
      <c r="I782" s="12"/>
      <c r="J782" s="12"/>
      <c r="K782" s="127"/>
      <c r="L782" s="127"/>
    </row>
    <row r="783" spans="1:12" s="13" customFormat="1" ht="15" customHeight="1">
      <c r="A783" s="98"/>
      <c r="B783" s="69"/>
      <c r="C783" s="110">
        <v>22</v>
      </c>
      <c r="D783" s="113" t="s">
        <v>84</v>
      </c>
      <c r="E783" s="344" t="s">
        <v>73</v>
      </c>
      <c r="F783" s="249" t="s">
        <v>38</v>
      </c>
      <c r="G783" s="413" t="s">
        <v>39</v>
      </c>
      <c r="H783" s="250" t="s">
        <v>52</v>
      </c>
      <c r="I783" s="118" t="s">
        <v>54</v>
      </c>
      <c r="J783" s="118" t="s">
        <v>118</v>
      </c>
      <c r="K783" s="127"/>
      <c r="L783" s="127"/>
    </row>
    <row r="784" spans="1:12" s="399" customFormat="1">
      <c r="B784" s="400"/>
      <c r="C784" s="78"/>
      <c r="D784" s="411" t="s">
        <v>66</v>
      </c>
      <c r="E784" s="580" t="s">
        <v>58</v>
      </c>
      <c r="F784" s="265">
        <f>500000*1.42</f>
        <v>710000</v>
      </c>
      <c r="G784" s="434">
        <v>4</v>
      </c>
      <c r="H784" s="265">
        <f t="shared" ref="H784:H796" si="24">F784*G784</f>
        <v>2840000</v>
      </c>
      <c r="I784" s="404">
        <f>H784*21%</f>
        <v>596400</v>
      </c>
      <c r="J784" s="404">
        <f>H784+I784</f>
        <v>3436400</v>
      </c>
      <c r="K784" s="405"/>
      <c r="L784" s="405"/>
    </row>
    <row r="785" spans="1:12" s="399" customFormat="1" ht="15" customHeight="1">
      <c r="B785" s="400"/>
      <c r="C785" s="78"/>
      <c r="D785" s="411" t="s">
        <v>26</v>
      </c>
      <c r="E785" s="580" t="s">
        <v>58</v>
      </c>
      <c r="F785" s="265">
        <f>900000*1.42</f>
        <v>1278000</v>
      </c>
      <c r="G785" s="434">
        <v>4</v>
      </c>
      <c r="H785" s="265">
        <f t="shared" si="24"/>
        <v>5112000</v>
      </c>
      <c r="I785" s="404">
        <v>0</v>
      </c>
      <c r="J785" s="404">
        <f t="shared" ref="J785:J796" si="25">H785+I785</f>
        <v>5112000</v>
      </c>
      <c r="K785" s="405"/>
      <c r="L785" s="405"/>
    </row>
    <row r="786" spans="1:12" s="399" customFormat="1" ht="15" customHeight="1">
      <c r="B786" s="400"/>
      <c r="C786" s="78"/>
      <c r="D786" s="411" t="s">
        <v>177</v>
      </c>
      <c r="E786" s="580" t="s">
        <v>58</v>
      </c>
      <c r="F786" s="265">
        <f>50000*1.42</f>
        <v>71000</v>
      </c>
      <c r="G786" s="434">
        <v>4</v>
      </c>
      <c r="H786" s="265">
        <f t="shared" si="24"/>
        <v>284000</v>
      </c>
      <c r="I786" s="404">
        <f>H786*21%</f>
        <v>59640</v>
      </c>
      <c r="J786" s="404">
        <f t="shared" si="25"/>
        <v>343640</v>
      </c>
      <c r="K786" s="405"/>
      <c r="L786" s="405"/>
    </row>
    <row r="787" spans="1:12" s="399" customFormat="1" ht="15" customHeight="1">
      <c r="B787" s="400"/>
      <c r="C787" s="78"/>
      <c r="D787" s="411" t="s">
        <v>178</v>
      </c>
      <c r="E787" s="580" t="s">
        <v>58</v>
      </c>
      <c r="F787" s="265">
        <f>570000*1.42</f>
        <v>809400</v>
      </c>
      <c r="G787" s="434">
        <v>4</v>
      </c>
      <c r="H787" s="265">
        <f t="shared" si="24"/>
        <v>3237600</v>
      </c>
      <c r="I787" s="404">
        <f>H787*21%</f>
        <v>679896</v>
      </c>
      <c r="J787" s="404">
        <f>+H787+I787</f>
        <v>3917496</v>
      </c>
      <c r="K787" s="405"/>
      <c r="L787" s="405"/>
    </row>
    <row r="788" spans="1:12" s="399" customFormat="1" ht="15" customHeight="1">
      <c r="B788" s="400"/>
      <c r="C788" s="78"/>
      <c r="D788" s="411" t="s">
        <v>176</v>
      </c>
      <c r="E788" s="580" t="s">
        <v>58</v>
      </c>
      <c r="F788" s="265">
        <f>72000*1.42</f>
        <v>102240</v>
      </c>
      <c r="G788" s="434">
        <v>4</v>
      </c>
      <c r="H788" s="265">
        <f t="shared" si="24"/>
        <v>408960</v>
      </c>
      <c r="I788" s="404">
        <f>H788*21%</f>
        <v>85881.599999999991</v>
      </c>
      <c r="J788" s="404">
        <f t="shared" si="25"/>
        <v>494841.59999999998</v>
      </c>
      <c r="K788" s="405"/>
      <c r="L788" s="405"/>
    </row>
    <row r="789" spans="1:12" s="399" customFormat="1" ht="15" customHeight="1">
      <c r="B789" s="400"/>
      <c r="C789" s="78"/>
      <c r="D789" s="206" t="s">
        <v>306</v>
      </c>
      <c r="E789" s="581" t="s">
        <v>160</v>
      </c>
      <c r="F789" s="265">
        <f>(10000*20)*1.42</f>
        <v>284000</v>
      </c>
      <c r="G789" s="434">
        <v>4</v>
      </c>
      <c r="H789" s="265">
        <f t="shared" si="24"/>
        <v>1136000</v>
      </c>
      <c r="I789" s="404">
        <f>H789*21%</f>
        <v>238560</v>
      </c>
      <c r="J789" s="404">
        <f t="shared" si="25"/>
        <v>1374560</v>
      </c>
      <c r="K789" s="405"/>
      <c r="L789" s="405"/>
    </row>
    <row r="790" spans="1:12" s="399" customFormat="1" ht="15" customHeight="1">
      <c r="B790" s="400"/>
      <c r="C790" s="78"/>
      <c r="D790" s="411" t="s">
        <v>69</v>
      </c>
      <c r="E790" s="402" t="s">
        <v>108</v>
      </c>
      <c r="F790" s="265">
        <f>3000000*1.42</f>
        <v>4260000</v>
      </c>
      <c r="G790" s="434">
        <v>1</v>
      </c>
      <c r="H790" s="265">
        <f t="shared" si="24"/>
        <v>4260000</v>
      </c>
      <c r="I790" s="404">
        <v>0</v>
      </c>
      <c r="J790" s="404">
        <f t="shared" si="25"/>
        <v>4260000</v>
      </c>
      <c r="K790" s="405"/>
      <c r="L790" s="405"/>
    </row>
    <row r="791" spans="1:12" s="399" customFormat="1" ht="15" customHeight="1">
      <c r="B791" s="400"/>
      <c r="C791" s="78"/>
      <c r="D791" s="411" t="s">
        <v>70</v>
      </c>
      <c r="E791" s="580" t="s">
        <v>58</v>
      </c>
      <c r="F791" s="265">
        <f>2160000*1.42</f>
        <v>3067200</v>
      </c>
      <c r="G791" s="434">
        <v>1</v>
      </c>
      <c r="H791" s="265">
        <f t="shared" si="24"/>
        <v>3067200</v>
      </c>
      <c r="I791" s="404">
        <v>0</v>
      </c>
      <c r="J791" s="404">
        <f t="shared" si="25"/>
        <v>3067200</v>
      </c>
      <c r="K791" s="405"/>
      <c r="L791" s="405"/>
    </row>
    <row r="792" spans="1:12" s="399" customFormat="1" ht="15" customHeight="1">
      <c r="B792" s="400"/>
      <c r="C792" s="78"/>
      <c r="D792" s="410" t="s">
        <v>274</v>
      </c>
      <c r="E792" s="582" t="s">
        <v>108</v>
      </c>
      <c r="F792" s="328">
        <f>1150000*1.42</f>
        <v>1633000</v>
      </c>
      <c r="G792" s="583">
        <v>1</v>
      </c>
      <c r="H792" s="328">
        <f t="shared" si="24"/>
        <v>1633000</v>
      </c>
      <c r="I792" s="404">
        <f>H792*21%</f>
        <v>342930</v>
      </c>
      <c r="J792" s="404">
        <f t="shared" ref="J792" si="26">H792+I792</f>
        <v>1975930</v>
      </c>
      <c r="K792" s="405"/>
      <c r="L792" s="405"/>
    </row>
    <row r="793" spans="1:12" s="399" customFormat="1" ht="15" customHeight="1">
      <c r="B793" s="400"/>
      <c r="C793" s="78"/>
      <c r="D793" s="410" t="s">
        <v>293</v>
      </c>
      <c r="E793" s="581" t="s">
        <v>58</v>
      </c>
      <c r="F793" s="265">
        <f>570000*1.42</f>
        <v>809400</v>
      </c>
      <c r="G793" s="434">
        <v>4</v>
      </c>
      <c r="H793" s="265">
        <f t="shared" si="24"/>
        <v>3237600</v>
      </c>
      <c r="I793" s="404">
        <f>+H793*21%</f>
        <v>679896</v>
      </c>
      <c r="J793" s="404">
        <f>+H793+I793</f>
        <v>3917496</v>
      </c>
      <c r="K793" s="405"/>
      <c r="L793" s="405"/>
    </row>
    <row r="794" spans="1:12" s="399" customFormat="1" ht="15" customHeight="1">
      <c r="B794" s="400"/>
      <c r="C794" s="78"/>
      <c r="D794" s="411" t="s">
        <v>180</v>
      </c>
      <c r="E794" s="581" t="s">
        <v>160</v>
      </c>
      <c r="F794" s="265">
        <f>3500000*1.42</f>
        <v>4970000</v>
      </c>
      <c r="G794" s="434">
        <v>1</v>
      </c>
      <c r="H794" s="265">
        <f t="shared" si="24"/>
        <v>4970000</v>
      </c>
      <c r="I794" s="404">
        <f>+H794*21%</f>
        <v>1043700</v>
      </c>
      <c r="J794" s="404">
        <f>+H794+I794</f>
        <v>6013700</v>
      </c>
      <c r="K794" s="405"/>
      <c r="L794" s="405"/>
    </row>
    <row r="795" spans="1:12" s="399" customFormat="1" ht="15" customHeight="1">
      <c r="B795" s="400"/>
      <c r="C795" s="78"/>
      <c r="D795" s="411" t="s">
        <v>179</v>
      </c>
      <c r="E795" s="581" t="s">
        <v>58</v>
      </c>
      <c r="F795" s="265">
        <f>170000*1.42</f>
        <v>241400</v>
      </c>
      <c r="G795" s="434">
        <v>4</v>
      </c>
      <c r="H795" s="265">
        <f t="shared" si="24"/>
        <v>965600</v>
      </c>
      <c r="I795" s="404">
        <f>+H795*21%</f>
        <v>202776</v>
      </c>
      <c r="J795" s="404">
        <f>+H795+I795</f>
        <v>1168376</v>
      </c>
      <c r="K795" s="405"/>
      <c r="L795" s="405"/>
    </row>
    <row r="796" spans="1:12" s="399" customFormat="1" ht="15" customHeight="1">
      <c r="B796" s="400"/>
      <c r="C796" s="513"/>
      <c r="D796" s="510" t="s">
        <v>182</v>
      </c>
      <c r="E796" s="402" t="s">
        <v>108</v>
      </c>
      <c r="F796" s="559">
        <v>0</v>
      </c>
      <c r="G796" s="564">
        <v>1</v>
      </c>
      <c r="H796" s="265">
        <f t="shared" si="24"/>
        <v>0</v>
      </c>
      <c r="I796" s="404">
        <v>0</v>
      </c>
      <c r="J796" s="404">
        <f t="shared" si="25"/>
        <v>0</v>
      </c>
      <c r="K796" s="405"/>
      <c r="L796" s="405"/>
    </row>
    <row r="797" spans="1:12" s="13" customFormat="1" ht="15" customHeight="1">
      <c r="A797" s="98"/>
      <c r="B797" s="67"/>
      <c r="C797" s="42">
        <f>SUM(C784:C796)</f>
        <v>0</v>
      </c>
      <c r="D797" s="41"/>
      <c r="E797" s="347"/>
      <c r="F797" s="594" t="s">
        <v>63</v>
      </c>
      <c r="G797" s="595"/>
      <c r="H797" s="255">
        <f>SUM(H784:H796)</f>
        <v>31151960</v>
      </c>
      <c r="I797" s="119">
        <f>SUM(I784:I796)</f>
        <v>3929679.6</v>
      </c>
      <c r="J797" s="119">
        <f>SUM(J784:J796)</f>
        <v>35081639.600000001</v>
      </c>
      <c r="K797" s="127"/>
      <c r="L797" s="127"/>
    </row>
    <row r="798" spans="1:12" ht="30" customHeight="1">
      <c r="A798" s="98"/>
      <c r="B798" s="63"/>
      <c r="D798" s="2"/>
      <c r="E798" s="343"/>
      <c r="F798" s="247"/>
      <c r="G798" s="431"/>
      <c r="H798" s="248"/>
      <c r="I798" s="12"/>
      <c r="J798" s="12"/>
      <c r="K798" s="127"/>
      <c r="L798" s="127"/>
    </row>
    <row r="799" spans="1:12" s="13" customFormat="1" ht="15" customHeight="1">
      <c r="A799" s="98"/>
      <c r="B799" s="69"/>
      <c r="C799" s="110">
        <v>23</v>
      </c>
      <c r="D799" s="113" t="s">
        <v>65</v>
      </c>
      <c r="E799" s="344" t="s">
        <v>73</v>
      </c>
      <c r="F799" s="249" t="s">
        <v>38</v>
      </c>
      <c r="G799" s="413" t="s">
        <v>39</v>
      </c>
      <c r="H799" s="250" t="s">
        <v>52</v>
      </c>
      <c r="I799" s="118" t="s">
        <v>54</v>
      </c>
      <c r="J799" s="118" t="s">
        <v>118</v>
      </c>
      <c r="K799" s="127"/>
      <c r="L799" s="127"/>
    </row>
    <row r="800" spans="1:12" s="24" customFormat="1" ht="15" customHeight="1">
      <c r="A800" s="98"/>
      <c r="B800" s="72"/>
      <c r="C800" s="3"/>
      <c r="D800" s="195" t="s">
        <v>276</v>
      </c>
      <c r="E800" s="373"/>
      <c r="F800" s="280"/>
      <c r="G800" s="454"/>
      <c r="H800" s="280"/>
      <c r="I800" s="49"/>
      <c r="J800" s="46"/>
      <c r="K800" s="127"/>
      <c r="L800" s="127"/>
    </row>
    <row r="801" spans="1:12" ht="15" customHeight="1">
      <c r="A801" s="98"/>
      <c r="B801" s="66"/>
      <c r="C801" s="17"/>
      <c r="D801" s="196" t="s">
        <v>277</v>
      </c>
      <c r="E801" s="346" t="s">
        <v>160</v>
      </c>
      <c r="F801" s="282">
        <f>SUM(H728)*0.02</f>
        <v>3494046</v>
      </c>
      <c r="G801" s="315">
        <v>1</v>
      </c>
      <c r="H801" s="252">
        <f>F801*G801:G801</f>
        <v>3494046</v>
      </c>
      <c r="I801" s="31">
        <f>H801*21%</f>
        <v>733749.65999999992</v>
      </c>
      <c r="J801" s="31">
        <f>H801+I801</f>
        <v>4227795.66</v>
      </c>
      <c r="K801" s="127"/>
      <c r="L801" s="127"/>
    </row>
    <row r="802" spans="1:12" s="399" customFormat="1" ht="15" customHeight="1">
      <c r="B802" s="400"/>
      <c r="C802" s="78"/>
      <c r="D802" s="192" t="s">
        <v>278</v>
      </c>
      <c r="E802" s="542" t="s">
        <v>58</v>
      </c>
      <c r="F802" s="265">
        <v>50000</v>
      </c>
      <c r="G802" s="434">
        <v>1</v>
      </c>
      <c r="H802" s="265">
        <f>F802*G802</f>
        <v>50000</v>
      </c>
      <c r="I802" s="404">
        <f>H802*21%</f>
        <v>10500</v>
      </c>
      <c r="J802" s="404">
        <f>H802+I802</f>
        <v>60500</v>
      </c>
      <c r="K802" s="405"/>
      <c r="L802" s="405"/>
    </row>
    <row r="803" spans="1:12" s="13" customFormat="1" ht="15" customHeight="1">
      <c r="A803" s="98"/>
      <c r="B803" s="67"/>
      <c r="C803" s="57">
        <f>SUM(C800:C802)</f>
        <v>0</v>
      </c>
      <c r="D803" s="41"/>
      <c r="E803" s="347"/>
      <c r="F803" s="610" t="s">
        <v>71</v>
      </c>
      <c r="G803" s="595"/>
      <c r="H803" s="255">
        <f>SUM(H801:H802)</f>
        <v>3544046</v>
      </c>
      <c r="I803" s="119">
        <f>SUM(I801:I802)</f>
        <v>744249.65999999992</v>
      </c>
      <c r="J803" s="119">
        <f>SUM(J801:J802)</f>
        <v>4288295.66</v>
      </c>
      <c r="K803" s="127"/>
      <c r="L803" s="127"/>
    </row>
    <row r="804" spans="1:12" s="13" customFormat="1" ht="26.25" customHeight="1">
      <c r="A804" s="98"/>
      <c r="B804" s="67"/>
      <c r="C804" s="147"/>
      <c r="D804" s="41"/>
      <c r="E804" s="347"/>
      <c r="F804" s="305"/>
      <c r="G804" s="419"/>
      <c r="H804" s="306"/>
      <c r="I804" s="143"/>
      <c r="J804" s="143"/>
      <c r="K804" s="127"/>
      <c r="L804" s="127"/>
    </row>
    <row r="805" spans="1:12" s="13" customFormat="1" ht="15" customHeight="1">
      <c r="A805" s="98"/>
      <c r="B805" s="69"/>
      <c r="C805" s="110">
        <v>24</v>
      </c>
      <c r="D805" s="113" t="s">
        <v>199</v>
      </c>
      <c r="E805" s="344" t="s">
        <v>73</v>
      </c>
      <c r="F805" s="307" t="s">
        <v>38</v>
      </c>
      <c r="G805" s="413" t="s">
        <v>39</v>
      </c>
      <c r="H805" s="250" t="s">
        <v>52</v>
      </c>
      <c r="I805" s="118" t="s">
        <v>54</v>
      </c>
      <c r="J805" s="118" t="s">
        <v>118</v>
      </c>
      <c r="K805" s="127"/>
      <c r="L805" s="127"/>
    </row>
    <row r="806" spans="1:12" ht="15" customHeight="1">
      <c r="A806" s="98"/>
      <c r="B806" s="66"/>
      <c r="C806" s="3">
        <v>1</v>
      </c>
      <c r="D806" s="148" t="s">
        <v>307</v>
      </c>
      <c r="E806" s="346" t="s">
        <v>160</v>
      </c>
      <c r="F806" s="252">
        <v>0</v>
      </c>
      <c r="G806" s="315">
        <v>1</v>
      </c>
      <c r="H806" s="252">
        <f>G806*F806</f>
        <v>0</v>
      </c>
      <c r="I806" s="31">
        <f>+H806*21%</f>
        <v>0</v>
      </c>
      <c r="J806" s="31">
        <f>SUM(H806:I806)</f>
        <v>0</v>
      </c>
      <c r="K806" s="127"/>
      <c r="L806" s="127"/>
    </row>
    <row r="807" spans="1:12" s="13" customFormat="1" ht="15" customHeight="1">
      <c r="A807" s="98"/>
      <c r="B807" s="67"/>
      <c r="C807" s="42">
        <f>SUM(C806:C806)</f>
        <v>1</v>
      </c>
      <c r="D807" s="41"/>
      <c r="E807" s="347"/>
      <c r="F807" s="594" t="s">
        <v>45</v>
      </c>
      <c r="G807" s="595"/>
      <c r="H807" s="270">
        <f>SUM(H806:H806)</f>
        <v>0</v>
      </c>
      <c r="I807" s="133">
        <f>SUM(I806:I806)</f>
        <v>0</v>
      </c>
      <c r="J807" s="133">
        <f>SUM(J806:J806)</f>
        <v>0</v>
      </c>
      <c r="K807" s="127"/>
      <c r="L807" s="127"/>
    </row>
    <row r="808" spans="1:12" ht="30" customHeight="1">
      <c r="A808" s="98"/>
      <c r="B808" s="63"/>
      <c r="D808" s="2"/>
      <c r="E808" s="343"/>
      <c r="F808" s="247"/>
      <c r="G808" s="431"/>
      <c r="H808" s="248"/>
      <c r="I808" s="12"/>
      <c r="J808" s="12"/>
      <c r="K808" s="127"/>
      <c r="L808" s="127"/>
    </row>
    <row r="809" spans="1:12" s="13" customFormat="1" ht="15" customHeight="1">
      <c r="A809" s="98"/>
      <c r="B809" s="69"/>
      <c r="C809" s="110">
        <v>25</v>
      </c>
      <c r="D809" s="113" t="s">
        <v>24</v>
      </c>
      <c r="E809" s="344" t="s">
        <v>73</v>
      </c>
      <c r="F809" s="249" t="s">
        <v>38</v>
      </c>
      <c r="G809" s="413" t="s">
        <v>39</v>
      </c>
      <c r="H809" s="250" t="s">
        <v>52</v>
      </c>
      <c r="I809" s="118" t="s">
        <v>54</v>
      </c>
      <c r="J809" s="118" t="s">
        <v>118</v>
      </c>
      <c r="K809" s="127"/>
      <c r="L809" s="127"/>
    </row>
    <row r="810" spans="1:12" s="399" customFormat="1" ht="15" customHeight="1">
      <c r="B810" s="400"/>
      <c r="C810" s="513">
        <v>1</v>
      </c>
      <c r="D810" s="410" t="s">
        <v>262</v>
      </c>
      <c r="E810" s="402" t="s">
        <v>149</v>
      </c>
      <c r="F810" s="265">
        <v>1800000</v>
      </c>
      <c r="G810" s="434">
        <v>40</v>
      </c>
      <c r="H810" s="265">
        <f>G810*F810</f>
        <v>72000000</v>
      </c>
      <c r="I810" s="404">
        <f>H810*21%</f>
        <v>15120000</v>
      </c>
      <c r="J810" s="404">
        <f>H810+I810</f>
        <v>87120000</v>
      </c>
      <c r="K810" s="405"/>
      <c r="L810" s="405"/>
    </row>
    <row r="811" spans="1:12" s="13" customFormat="1" ht="15" customHeight="1">
      <c r="A811" s="98"/>
      <c r="B811" s="67"/>
      <c r="C811" s="136">
        <f>SUM(C810:C810)</f>
        <v>1</v>
      </c>
      <c r="D811" s="41"/>
      <c r="E811" s="347"/>
      <c r="F811" s="594" t="s">
        <v>46</v>
      </c>
      <c r="G811" s="595"/>
      <c r="H811" s="270">
        <f>SUM(H810:H810)</f>
        <v>72000000</v>
      </c>
      <c r="I811" s="133">
        <f>SUM(I810:I810)</f>
        <v>15120000</v>
      </c>
      <c r="J811" s="133">
        <f>SUM(J810:J810)</f>
        <v>87120000</v>
      </c>
      <c r="K811" s="127"/>
      <c r="L811" s="127"/>
    </row>
    <row r="812" spans="1:12" s="13" customFormat="1" ht="15" customHeight="1">
      <c r="A812" s="139"/>
      <c r="B812" s="137"/>
      <c r="C812" s="138"/>
      <c r="D812" s="134"/>
      <c r="E812" s="368"/>
      <c r="F812" s="271"/>
      <c r="G812" s="415"/>
      <c r="H812" s="272"/>
      <c r="I812" s="135"/>
      <c r="J812" s="135"/>
      <c r="K812" s="127"/>
      <c r="L812" s="127"/>
    </row>
    <row r="813" spans="1:12" s="13" customFormat="1" ht="15" customHeight="1">
      <c r="A813" s="98"/>
      <c r="B813" s="69"/>
      <c r="C813" s="110">
        <v>26</v>
      </c>
      <c r="D813" s="113" t="s">
        <v>183</v>
      </c>
      <c r="E813" s="344" t="s">
        <v>73</v>
      </c>
      <c r="F813" s="249" t="s">
        <v>38</v>
      </c>
      <c r="G813" s="413" t="s">
        <v>39</v>
      </c>
      <c r="H813" s="250" t="s">
        <v>52</v>
      </c>
      <c r="I813" s="118" t="s">
        <v>54</v>
      </c>
      <c r="J813" s="118" t="s">
        <v>118</v>
      </c>
      <c r="K813" s="127"/>
      <c r="L813" s="127"/>
    </row>
    <row r="814" spans="1:12" ht="15" customHeight="1">
      <c r="A814" s="98"/>
      <c r="B814" s="66"/>
      <c r="C814" s="3"/>
      <c r="D814" s="176" t="s">
        <v>263</v>
      </c>
      <c r="E814" s="390">
        <v>1.2E-2</v>
      </c>
      <c r="F814" s="265">
        <f>SUM(J811+J807+J803+J797+J781+J772+J763+J734+J728+J693+J687+J676+J668+J660+J655+J632+J626+J619+J610+J594+J588+J551+J93+J86+J80+J820)</f>
        <v>2858324448.4482589</v>
      </c>
      <c r="G814" s="315">
        <v>1</v>
      </c>
      <c r="H814" s="252">
        <f>+G814*F814*E814</f>
        <v>34299893.381379105</v>
      </c>
      <c r="I814" s="31">
        <v>0</v>
      </c>
      <c r="J814" s="31">
        <f>I814+H814</f>
        <v>34299893.381379105</v>
      </c>
      <c r="K814" s="127"/>
      <c r="L814" s="127"/>
    </row>
    <row r="815" spans="1:12" ht="15" customHeight="1">
      <c r="A815" s="98"/>
      <c r="B815" s="66"/>
      <c r="C815" s="3"/>
      <c r="D815" s="89" t="s">
        <v>184</v>
      </c>
      <c r="E815" s="390">
        <v>0.05</v>
      </c>
      <c r="F815" s="265">
        <f>SUM(H811+H807+H803+H797+H781+H772+H763+H734+H728+H693+H687+H676+H668+H660+H655+H632+H626+H619+H610+H594+H587+H551+H93+H86+H80)</f>
        <v>2524808424.6201606</v>
      </c>
      <c r="G815" s="315">
        <v>1</v>
      </c>
      <c r="H815" s="252">
        <f>+G815*F815*E815</f>
        <v>126240421.23100804</v>
      </c>
      <c r="I815" s="31"/>
      <c r="J815" s="31">
        <f>I815+H815</f>
        <v>126240421.23100804</v>
      </c>
      <c r="K815" s="127"/>
      <c r="L815" s="127"/>
    </row>
    <row r="816" spans="1:12" ht="15" customHeight="1">
      <c r="A816" s="98"/>
      <c r="B816" s="66"/>
      <c r="C816" s="3"/>
      <c r="D816" s="176" t="s">
        <v>275</v>
      </c>
      <c r="E816" s="390">
        <v>0.21</v>
      </c>
      <c r="F816" s="252"/>
      <c r="G816" s="315"/>
      <c r="H816" s="252"/>
      <c r="I816" s="31">
        <v>0</v>
      </c>
      <c r="J816" s="31">
        <f>H816</f>
        <v>0</v>
      </c>
      <c r="K816" s="127"/>
      <c r="L816" s="127"/>
    </row>
    <row r="817" spans="1:12" ht="15" customHeight="1">
      <c r="A817" s="98"/>
      <c r="B817" s="66"/>
      <c r="C817" s="3"/>
      <c r="D817" s="125"/>
      <c r="E817" s="391"/>
      <c r="F817" s="594" t="s">
        <v>186</v>
      </c>
      <c r="G817" s="595"/>
      <c r="H817" s="270">
        <f>SUM(H814:H816)</f>
        <v>160540314.61238715</v>
      </c>
      <c r="I817" s="133">
        <f>SUM(I816:I816)</f>
        <v>0</v>
      </c>
      <c r="J817" s="133">
        <f>SUM(H817:I817)</f>
        <v>160540314.61238715</v>
      </c>
      <c r="K817" s="127"/>
      <c r="L817" s="127"/>
    </row>
    <row r="818" spans="1:12" s="13" customFormat="1" ht="15" customHeight="1">
      <c r="A818" s="139"/>
      <c r="B818" s="140"/>
      <c r="C818" s="141"/>
      <c r="D818" s="142"/>
      <c r="E818" s="392"/>
      <c r="F818" s="245"/>
      <c r="G818" s="414"/>
      <c r="H818" s="273"/>
      <c r="I818" s="108"/>
      <c r="J818" s="108"/>
      <c r="K818" s="127"/>
      <c r="L818" s="127"/>
    </row>
    <row r="819" spans="1:12" s="13" customFormat="1" ht="15" customHeight="1">
      <c r="A819" s="98"/>
      <c r="B819" s="69"/>
      <c r="C819" s="110">
        <v>27</v>
      </c>
      <c r="D819" s="113" t="s">
        <v>181</v>
      </c>
      <c r="E819" s="344" t="s">
        <v>73</v>
      </c>
      <c r="F819" s="249" t="s">
        <v>38</v>
      </c>
      <c r="G819" s="413" t="s">
        <v>39</v>
      </c>
      <c r="H819" s="250" t="s">
        <v>52</v>
      </c>
      <c r="I819" s="118" t="s">
        <v>54</v>
      </c>
      <c r="J819" s="118" t="s">
        <v>118</v>
      </c>
      <c r="K819" s="127"/>
      <c r="L819" s="127"/>
    </row>
    <row r="820" spans="1:12" ht="15" customHeight="1">
      <c r="A820" s="98"/>
      <c r="B820" s="66"/>
      <c r="C820" s="3"/>
      <c r="D820" s="89" t="s">
        <v>185</v>
      </c>
      <c r="E820" s="393">
        <v>0.03</v>
      </c>
      <c r="F820" s="252">
        <f>SUM(H811+H807+H803+H797+H781+H772+H763+H734+H728+H693+H687+H676+H668+H660+H655+H632+H626+H619+H610+H594+H587+H551+H93+H86+H80)</f>
        <v>2524808424.6201606</v>
      </c>
      <c r="G820" s="315">
        <v>1</v>
      </c>
      <c r="H820" s="252">
        <f>+G820*F820*E820</f>
        <v>75744252.738604814</v>
      </c>
      <c r="I820" s="31">
        <f>+(H820*80%)*21%</f>
        <v>12725034.460085608</v>
      </c>
      <c r="J820" s="31">
        <f>+I820+H820</f>
        <v>88469287.198690414</v>
      </c>
      <c r="K820" s="127"/>
      <c r="L820" s="127"/>
    </row>
    <row r="821" spans="1:12" ht="15" customHeight="1">
      <c r="A821" s="98"/>
      <c r="B821" s="66"/>
      <c r="C821" s="3"/>
      <c r="D821" s="125"/>
      <c r="E821" s="394"/>
      <c r="F821" s="594" t="s">
        <v>297</v>
      </c>
      <c r="G821" s="595"/>
      <c r="H821" s="270">
        <f>SUM(H820)</f>
        <v>75744252.738604814</v>
      </c>
      <c r="I821" s="133">
        <f>SUM(I820:I820)</f>
        <v>12725034.460085608</v>
      </c>
      <c r="J821" s="133">
        <f>SUM(H821:I821)</f>
        <v>88469287.198690414</v>
      </c>
      <c r="K821" s="127"/>
      <c r="L821" s="127"/>
    </row>
    <row r="822" spans="1:12" ht="15.95" customHeight="1" thickBot="1">
      <c r="A822" s="98"/>
      <c r="B822" s="73"/>
      <c r="C822" s="74"/>
      <c r="D822" s="75"/>
      <c r="E822" s="395"/>
      <c r="F822" s="308"/>
      <c r="G822" s="455"/>
      <c r="H822" s="309" t="s">
        <v>35</v>
      </c>
      <c r="I822" s="76"/>
      <c r="J822" s="76"/>
      <c r="K822" s="76"/>
      <c r="L822" s="76"/>
    </row>
    <row r="823" spans="1:12" ht="13.5" thickTop="1"/>
    <row r="824" spans="1:12">
      <c r="D824" s="321" t="s">
        <v>400</v>
      </c>
    </row>
    <row r="825" spans="1:12">
      <c r="D825" s="321" t="s">
        <v>402</v>
      </c>
    </row>
    <row r="826" spans="1:12">
      <c r="D826" s="321" t="s">
        <v>397</v>
      </c>
    </row>
    <row r="827" spans="1:12">
      <c r="D827" s="321" t="s">
        <v>398</v>
      </c>
    </row>
    <row r="828" spans="1:12">
      <c r="D828" s="584" t="s">
        <v>399</v>
      </c>
    </row>
    <row r="829" spans="1:12">
      <c r="D829" s="584" t="s">
        <v>403</v>
      </c>
    </row>
    <row r="830" spans="1:12">
      <c r="D830" s="321" t="s">
        <v>376</v>
      </c>
    </row>
    <row r="831" spans="1:12">
      <c r="D831" s="321" t="s">
        <v>401</v>
      </c>
    </row>
    <row r="832" spans="1:12">
      <c r="D832" s="321" t="s">
        <v>388</v>
      </c>
    </row>
    <row r="833" spans="4:4">
      <c r="D833" s="321" t="s">
        <v>389</v>
      </c>
    </row>
    <row r="1048576" spans="18:18">
      <c r="R1048576" s="487"/>
    </row>
  </sheetData>
  <sheetProtection selectLockedCells="1" selectUnlockedCells="1"/>
  <mergeCells count="36">
    <mergeCell ref="F821:G821"/>
    <mergeCell ref="F655:G655"/>
    <mergeCell ref="D3:D5"/>
    <mergeCell ref="F811:G811"/>
    <mergeCell ref="F803:G803"/>
    <mergeCell ref="F587:G587"/>
    <mergeCell ref="F594:G594"/>
    <mergeCell ref="F772:G772"/>
    <mergeCell ref="F734:G734"/>
    <mergeCell ref="F676:G676"/>
    <mergeCell ref="F660:G660"/>
    <mergeCell ref="F693:G693"/>
    <mergeCell ref="F619:G619"/>
    <mergeCell ref="F728:G728"/>
    <mergeCell ref="F66:G66"/>
    <mergeCell ref="F817:G817"/>
    <mergeCell ref="C3:C5"/>
    <mergeCell ref="F763:G763"/>
    <mergeCell ref="F687:G687"/>
    <mergeCell ref="F535:G535"/>
    <mergeCell ref="F610:G610"/>
    <mergeCell ref="F86:G86"/>
    <mergeCell ref="F93:G93"/>
    <mergeCell ref="F668:G668"/>
    <mergeCell ref="F551:G551"/>
    <mergeCell ref="F626:G626"/>
    <mergeCell ref="F80:G80"/>
    <mergeCell ref="F62:G62"/>
    <mergeCell ref="F549:G549"/>
    <mergeCell ref="F64:G64"/>
    <mergeCell ref="F67:G67"/>
    <mergeCell ref="F781:G781"/>
    <mergeCell ref="F797:G797"/>
    <mergeCell ref="F807:G807"/>
    <mergeCell ref="F632:G632"/>
    <mergeCell ref="D701:D703"/>
  </mergeCells>
  <phoneticPr fontId="9"/>
  <pageMargins left="0.15" right="0.56999999999999995" top="0.24" bottom="0.16" header="0" footer="0"/>
  <pageSetup paperSize="9" scale="55" fitToHeight="17" orientation="landscape" horizontalDpi="4294967292" verticalDpi="4294967292"/>
  <rowBreaks count="11" manualBreakCount="11">
    <brk id="70" max="11" man="1"/>
    <brk id="177" max="16383" man="1"/>
    <brk id="232" max="11" man="1"/>
    <brk id="298" max="16383" man="1"/>
    <brk id="419" max="16383" man="1"/>
    <brk id="476" max="16383" man="1"/>
    <brk id="530" max="11" man="1"/>
    <brk id="587" max="16383" man="1"/>
    <brk id="694" max="16383" man="1"/>
    <brk id="750" max="16383" man="1"/>
    <brk id="804" max="16383" man="1"/>
  </rowBreaks>
  <ignoredErrors>
    <ignoredError sqref="J74:J80 H74:H80 I75 F556:G559 H555:H564 F591:F593 F587:H590 F594:H597 G591:H593 I598:J603 I604:J610 F611:J612 F605:H605 F75 F100:F107 E98:F99 E100:E107 H99:H107 H89:J93 H83:J85 G555 F561:G561 G560 F563:G563 G562 F565:G566 G564 H566:H580 F568:G573 G567 G578:G579 G574 G575 G576 G582:H582 G583:H583 G584:H584 G585:H585 G586:H586 F582:F586 F578:F579 F574:F577 F599:H599 G598:H598 F601:H601 G600:H600 F603:H603 G602:H602 G604:H604 F607:H607 G606:H606 F609:H610 G608:H608 F615:J617 G613:J613 G614:J614 F619:J620 G618:J618 F636:F640 F642:G659 H658:H659 F707:F712 F718:F727 F768:F769 F776:F780 F784:F796 E233" unlockedFormula="1"/>
    <ignoredError sqref="C80 C86" formulaRange="1"/>
  </ignoredErrors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B1:U26"/>
  <sheetViews>
    <sheetView workbookViewId="0">
      <selection activeCell="U5" sqref="U5"/>
    </sheetView>
  </sheetViews>
  <sheetFormatPr baseColWidth="10" defaultRowHeight="12.75"/>
  <cols>
    <col min="1" max="1" width="1.7109375" customWidth="1"/>
    <col min="2" max="2" width="7.42578125" customWidth="1"/>
    <col min="3" max="5" width="10.85546875" hidden="1" customWidth="1"/>
    <col min="6" max="6" width="13.28515625" hidden="1" customWidth="1"/>
    <col min="7" max="7" width="10.85546875" hidden="1" customWidth="1"/>
    <col min="8" max="9" width="9.85546875" hidden="1" customWidth="1"/>
    <col min="10" max="10" width="18.140625" hidden="1" customWidth="1"/>
    <col min="11" max="11" width="13" hidden="1" customWidth="1"/>
    <col min="12" max="16" width="10.85546875" hidden="1" customWidth="1"/>
    <col min="17" max="17" width="1.140625" customWidth="1"/>
    <col min="18" max="18" width="12" style="318" customWidth="1"/>
    <col min="19" max="19" width="20" style="318" bestFit="1" customWidth="1"/>
    <col min="20" max="20" width="13" bestFit="1" customWidth="1"/>
    <col min="21" max="21" width="14" customWidth="1"/>
  </cols>
  <sheetData>
    <row r="1" spans="2:21" ht="15">
      <c r="B1" s="161"/>
      <c r="C1" s="161"/>
      <c r="D1" s="161"/>
      <c r="E1" s="161"/>
      <c r="F1" s="161"/>
      <c r="G1" s="161"/>
    </row>
    <row r="2" spans="2:21" ht="47.25">
      <c r="B2" s="209" t="s">
        <v>328</v>
      </c>
      <c r="C2" s="209" t="s">
        <v>340</v>
      </c>
      <c r="D2" s="209" t="s">
        <v>341</v>
      </c>
      <c r="E2" s="209" t="s">
        <v>342</v>
      </c>
      <c r="F2" s="209" t="s">
        <v>343</v>
      </c>
      <c r="G2" s="209" t="s">
        <v>344</v>
      </c>
      <c r="H2" s="209" t="s">
        <v>345</v>
      </c>
      <c r="I2" s="209" t="s">
        <v>346</v>
      </c>
      <c r="J2" s="210" t="s">
        <v>329</v>
      </c>
      <c r="K2" s="210"/>
      <c r="L2" s="210"/>
      <c r="M2" s="210"/>
      <c r="N2" s="210"/>
      <c r="T2" s="477" t="s">
        <v>391</v>
      </c>
    </row>
    <row r="3" spans="2:21" ht="25.5">
      <c r="B3" s="211"/>
      <c r="C3" s="212" t="s">
        <v>330</v>
      </c>
      <c r="D3" s="212"/>
      <c r="E3" s="212"/>
      <c r="F3" s="212" t="s">
        <v>330</v>
      </c>
      <c r="G3" s="212"/>
      <c r="H3" s="212"/>
      <c r="I3" s="212"/>
      <c r="J3" s="213"/>
      <c r="K3" s="213"/>
      <c r="L3" s="213"/>
      <c r="M3" s="213"/>
      <c r="N3" s="213"/>
      <c r="R3" s="319" t="s">
        <v>390</v>
      </c>
      <c r="S3" s="324" t="s">
        <v>370</v>
      </c>
      <c r="T3" s="223">
        <v>0.12</v>
      </c>
      <c r="U3" s="489" t="s">
        <v>394</v>
      </c>
    </row>
    <row r="4" spans="2:21">
      <c r="B4" s="214">
        <v>1</v>
      </c>
      <c r="C4" s="215">
        <f>U4</f>
        <v>2481080.3435</v>
      </c>
      <c r="D4" s="215">
        <f t="shared" ref="D4:D15" si="0">+C4/150*1.5*1*22+C4</f>
        <v>3026918.0190699999</v>
      </c>
      <c r="E4" s="215">
        <f t="shared" ref="E4:E15" si="1">+C4/150*1.5*2*22+C4</f>
        <v>3572755.6946400004</v>
      </c>
      <c r="F4" s="215">
        <f t="shared" ref="F4:F15" si="2">+C4/150*1.5*3*22+C4</f>
        <v>4118593.3702099998</v>
      </c>
      <c r="G4" s="215">
        <f t="shared" ref="G4:G15" si="3">+C4/150*1.5*4*22+C4</f>
        <v>4664431.0457800003</v>
      </c>
      <c r="H4" s="215">
        <f t="shared" ref="H4:H15" si="4">+(C4/150*1.5*5*22+C4)</f>
        <v>5210268.7213500002</v>
      </c>
      <c r="I4" s="215">
        <f t="shared" ref="I4:I15" si="5">+(C4+C4/150*1.5*6*22)</f>
        <v>5756106.3969199993</v>
      </c>
      <c r="J4" s="216" t="s">
        <v>331</v>
      </c>
      <c r="K4" s="217"/>
      <c r="L4" s="217"/>
      <c r="M4" s="217"/>
      <c r="N4" s="217"/>
      <c r="R4" s="478">
        <v>1811007.55</v>
      </c>
      <c r="S4" s="325">
        <f>R4*0.25</f>
        <v>452751.88750000001</v>
      </c>
      <c r="T4" s="227">
        <f>R4*$T$3</f>
        <v>217320.90599999999</v>
      </c>
      <c r="U4" s="227">
        <f>SUM(R4:T4)</f>
        <v>2481080.3435</v>
      </c>
    </row>
    <row r="5" spans="2:21">
      <c r="B5" s="214">
        <v>2</v>
      </c>
      <c r="C5" s="215">
        <f t="shared" ref="C5:C15" si="6">U5</f>
        <v>1760747.4079999998</v>
      </c>
      <c r="D5" s="215">
        <f>+C5/150*1.5*1*22+C5</f>
        <v>2148111.8377599996</v>
      </c>
      <c r="E5" s="215">
        <f t="shared" si="1"/>
        <v>2535476.2675199998</v>
      </c>
      <c r="F5" s="215">
        <f t="shared" si="2"/>
        <v>2922840.69728</v>
      </c>
      <c r="G5" s="215">
        <f t="shared" si="3"/>
        <v>3310205.1270399997</v>
      </c>
      <c r="H5" s="215">
        <f>+(C5/150*1.5*5*22+C5)</f>
        <v>3697569.5567999999</v>
      </c>
      <c r="I5" s="215">
        <f t="shared" si="5"/>
        <v>4084933.9865599996</v>
      </c>
      <c r="J5" s="218" t="s">
        <v>332</v>
      </c>
      <c r="K5" s="217"/>
      <c r="L5" s="217"/>
      <c r="M5" s="217"/>
      <c r="N5" s="217"/>
      <c r="R5" s="478">
        <v>1572095.9</v>
      </c>
      <c r="S5" s="325"/>
      <c r="T5" s="227">
        <f t="shared" ref="T5:T15" si="7">R5*$T$3</f>
        <v>188651.50799999997</v>
      </c>
      <c r="U5" s="227">
        <f t="shared" ref="U5:U15" si="8">SUM(R5:T5)</f>
        <v>1760747.4079999998</v>
      </c>
    </row>
    <row r="6" spans="2:21">
      <c r="B6" s="214">
        <v>3</v>
      </c>
      <c r="C6" s="215">
        <f t="shared" si="6"/>
        <v>1533732.5920000002</v>
      </c>
      <c r="D6" s="215">
        <f t="shared" si="0"/>
        <v>1871153.7622400003</v>
      </c>
      <c r="E6" s="215">
        <f t="shared" si="1"/>
        <v>2208574.9324800004</v>
      </c>
      <c r="F6" s="215">
        <f t="shared" si="2"/>
        <v>2545996.1027200003</v>
      </c>
      <c r="G6" s="215">
        <f t="shared" si="3"/>
        <v>2883417.2729600007</v>
      </c>
      <c r="H6" s="215">
        <f t="shared" si="4"/>
        <v>3220838.4432000006</v>
      </c>
      <c r="I6" s="215">
        <f t="shared" si="5"/>
        <v>3558259.6134400005</v>
      </c>
      <c r="J6" s="218" t="s">
        <v>333</v>
      </c>
      <c r="K6" s="219"/>
      <c r="L6" s="219"/>
      <c r="M6" s="219"/>
      <c r="N6" s="219"/>
      <c r="R6" s="479">
        <v>1369404.1</v>
      </c>
      <c r="S6" s="326"/>
      <c r="T6" s="227">
        <f t="shared" si="7"/>
        <v>164328.492</v>
      </c>
      <c r="U6" s="227">
        <f t="shared" si="8"/>
        <v>1533732.5920000002</v>
      </c>
    </row>
    <row r="7" spans="2:21">
      <c r="B7" s="214">
        <v>4</v>
      </c>
      <c r="C7" s="215">
        <f t="shared" si="6"/>
        <v>1416288.7087999999</v>
      </c>
      <c r="D7" s="215">
        <f t="shared" si="0"/>
        <v>1727872.2247359999</v>
      </c>
      <c r="E7" s="215">
        <f t="shared" si="1"/>
        <v>2039455.7406719998</v>
      </c>
      <c r="F7" s="215">
        <f t="shared" si="2"/>
        <v>2351039.256608</v>
      </c>
      <c r="G7" s="215">
        <f t="shared" si="3"/>
        <v>2662622.7725439998</v>
      </c>
      <c r="H7" s="215">
        <f t="shared" si="4"/>
        <v>2974206.2884799996</v>
      </c>
      <c r="I7" s="215">
        <f t="shared" si="5"/>
        <v>3285789.8044159999</v>
      </c>
      <c r="J7" s="218" t="s">
        <v>334</v>
      </c>
      <c r="K7" s="220"/>
      <c r="L7" s="220"/>
      <c r="M7" s="220"/>
      <c r="N7" s="220"/>
      <c r="R7" s="478">
        <v>1264543.49</v>
      </c>
      <c r="S7" s="325"/>
      <c r="T7" s="227">
        <f t="shared" si="7"/>
        <v>151745.2188</v>
      </c>
      <c r="U7" s="227">
        <f t="shared" si="8"/>
        <v>1416288.7087999999</v>
      </c>
    </row>
    <row r="8" spans="2:21">
      <c r="B8" s="214">
        <v>5</v>
      </c>
      <c r="C8" s="215">
        <f t="shared" si="6"/>
        <v>1306174.2960000001</v>
      </c>
      <c r="D8" s="215">
        <f t="shared" si="0"/>
        <v>1593532.64112</v>
      </c>
      <c r="E8" s="215">
        <f t="shared" si="1"/>
        <v>1880890.98624</v>
      </c>
      <c r="F8" s="215">
        <f t="shared" si="2"/>
        <v>2168249.3313600002</v>
      </c>
      <c r="G8" s="215">
        <f t="shared" si="3"/>
        <v>2455607.6764799999</v>
      </c>
      <c r="H8" s="215">
        <f t="shared" si="4"/>
        <v>2742966.0216000001</v>
      </c>
      <c r="I8" s="215">
        <f t="shared" si="5"/>
        <v>3030324.3667199998</v>
      </c>
      <c r="J8" s="218" t="s">
        <v>335</v>
      </c>
      <c r="K8" s="220"/>
      <c r="L8" s="220"/>
      <c r="M8" s="220"/>
      <c r="N8" s="220"/>
      <c r="R8" s="478">
        <v>1166227.05</v>
      </c>
      <c r="S8" s="325"/>
      <c r="T8" s="227">
        <f t="shared" si="7"/>
        <v>139947.24600000001</v>
      </c>
      <c r="U8" s="488">
        <f t="shared" si="8"/>
        <v>1306174.2960000001</v>
      </c>
    </row>
    <row r="9" spans="2:21">
      <c r="B9" s="214">
        <v>6</v>
      </c>
      <c r="C9" s="215">
        <f t="shared" si="6"/>
        <v>1204923.8432</v>
      </c>
      <c r="D9" s="215">
        <f t="shared" si="0"/>
        <v>1470007.088704</v>
      </c>
      <c r="E9" s="215">
        <f t="shared" si="1"/>
        <v>1735090.334208</v>
      </c>
      <c r="F9" s="215">
        <f t="shared" si="2"/>
        <v>2000173.5797120002</v>
      </c>
      <c r="G9" s="215">
        <f t="shared" si="3"/>
        <v>2265256.825216</v>
      </c>
      <c r="H9" s="215">
        <f t="shared" si="4"/>
        <v>2530340.0707200002</v>
      </c>
      <c r="I9" s="215">
        <f t="shared" si="5"/>
        <v>2795423.3162240004</v>
      </c>
      <c r="J9" s="218" t="s">
        <v>336</v>
      </c>
      <c r="K9" s="220"/>
      <c r="L9" s="220"/>
      <c r="M9" s="220"/>
      <c r="N9" s="220"/>
      <c r="R9" s="478">
        <v>1075824.8600000001</v>
      </c>
      <c r="S9" s="325"/>
      <c r="T9" s="227">
        <f t="shared" si="7"/>
        <v>129098.9832</v>
      </c>
      <c r="U9" s="227">
        <f t="shared" si="8"/>
        <v>1204923.8432</v>
      </c>
    </row>
    <row r="10" spans="2:21">
      <c r="B10" s="214">
        <v>7</v>
      </c>
      <c r="C10" s="215">
        <f t="shared" si="6"/>
        <v>1114812.9103999999</v>
      </c>
      <c r="D10" s="215">
        <f t="shared" si="0"/>
        <v>1360071.7506879999</v>
      </c>
      <c r="E10" s="215">
        <f t="shared" si="1"/>
        <v>1605330.5909759998</v>
      </c>
      <c r="F10" s="215">
        <f t="shared" si="2"/>
        <v>1850589.431264</v>
      </c>
      <c r="G10" s="215">
        <f t="shared" si="3"/>
        <v>2095848.271552</v>
      </c>
      <c r="H10" s="215">
        <f t="shared" si="4"/>
        <v>2341107.1118399999</v>
      </c>
      <c r="I10" s="215">
        <f t="shared" si="5"/>
        <v>2586365.9521279996</v>
      </c>
      <c r="J10" s="218" t="s">
        <v>337</v>
      </c>
      <c r="K10" s="220"/>
      <c r="L10" s="220"/>
      <c r="M10" s="220"/>
      <c r="N10" s="220"/>
      <c r="R10" s="478">
        <v>995368.67</v>
      </c>
      <c r="S10" s="325"/>
      <c r="T10" s="227">
        <f t="shared" si="7"/>
        <v>119444.2404</v>
      </c>
      <c r="U10" s="227">
        <f t="shared" si="8"/>
        <v>1114812.9103999999</v>
      </c>
    </row>
    <row r="11" spans="2:21">
      <c r="B11" s="214">
        <v>8</v>
      </c>
      <c r="C11" s="215">
        <f t="shared" si="6"/>
        <v>1026488.5231999999</v>
      </c>
      <c r="D11" s="215">
        <f t="shared" si="0"/>
        <v>1252315.9983039999</v>
      </c>
      <c r="E11" s="215">
        <f t="shared" si="1"/>
        <v>1478143.4734079998</v>
      </c>
      <c r="F11" s="215">
        <f t="shared" si="2"/>
        <v>1703970.9485119998</v>
      </c>
      <c r="G11" s="215">
        <f t="shared" si="3"/>
        <v>1929798.423616</v>
      </c>
      <c r="H11" s="215">
        <f t="shared" si="4"/>
        <v>2155625.8987199999</v>
      </c>
      <c r="I11" s="215">
        <f t="shared" si="5"/>
        <v>2381453.3738239994</v>
      </c>
      <c r="J11" s="218" t="s">
        <v>338</v>
      </c>
      <c r="K11" s="220"/>
      <c r="L11" s="220"/>
      <c r="M11" s="220"/>
      <c r="N11" s="220"/>
      <c r="R11" s="478">
        <v>916507.61</v>
      </c>
      <c r="S11" s="325"/>
      <c r="T11" s="227">
        <f t="shared" si="7"/>
        <v>109980.9132</v>
      </c>
      <c r="U11" s="227">
        <f t="shared" si="8"/>
        <v>1026488.5231999999</v>
      </c>
    </row>
    <row r="12" spans="2:21">
      <c r="B12" s="214">
        <v>9</v>
      </c>
      <c r="C12" s="215">
        <f t="shared" si="6"/>
        <v>952241.2816000001</v>
      </c>
      <c r="D12" s="215">
        <f t="shared" si="0"/>
        <v>1161734.3635520001</v>
      </c>
      <c r="E12" s="215">
        <f t="shared" si="1"/>
        <v>1371227.4455040002</v>
      </c>
      <c r="F12" s="215">
        <f t="shared" si="2"/>
        <v>1580720.5274560002</v>
      </c>
      <c r="G12" s="215">
        <f t="shared" si="3"/>
        <v>1790213.6094080003</v>
      </c>
      <c r="H12" s="215">
        <f t="shared" si="4"/>
        <v>1999706.6913600003</v>
      </c>
      <c r="I12" s="215">
        <f t="shared" si="5"/>
        <v>2209199.7733120006</v>
      </c>
      <c r="J12" s="218" t="s">
        <v>339</v>
      </c>
      <c r="K12" s="220"/>
      <c r="L12" s="220"/>
      <c r="M12" s="220"/>
      <c r="N12" s="220"/>
      <c r="R12" s="478">
        <v>850215.43</v>
      </c>
      <c r="S12" s="325"/>
      <c r="T12" s="227">
        <f t="shared" si="7"/>
        <v>102025.85160000001</v>
      </c>
      <c r="U12" s="227">
        <f t="shared" si="8"/>
        <v>952241.2816000001</v>
      </c>
    </row>
    <row r="13" spans="2:21">
      <c r="B13" s="214">
        <v>10</v>
      </c>
      <c r="C13" s="215">
        <f t="shared" si="6"/>
        <v>879458.44</v>
      </c>
      <c r="D13" s="215">
        <f t="shared" si="0"/>
        <v>1072939.2967999999</v>
      </c>
      <c r="E13" s="215">
        <f t="shared" si="1"/>
        <v>1266420.1535999998</v>
      </c>
      <c r="F13" s="215">
        <f t="shared" si="2"/>
        <v>1459901.0104</v>
      </c>
      <c r="G13" s="215">
        <f t="shared" si="3"/>
        <v>1653381.8672</v>
      </c>
      <c r="H13" s="215">
        <f t="shared" si="4"/>
        <v>1846862.7239999999</v>
      </c>
      <c r="I13" s="215">
        <f t="shared" si="5"/>
        <v>2040343.5807999999</v>
      </c>
      <c r="J13" s="218"/>
      <c r="K13" s="221"/>
      <c r="L13" s="221"/>
      <c r="M13" s="221"/>
      <c r="N13" s="221"/>
      <c r="R13" s="478">
        <v>785230.75</v>
      </c>
      <c r="S13" s="325"/>
      <c r="T13" s="227">
        <f t="shared" si="7"/>
        <v>94227.69</v>
      </c>
      <c r="U13" s="227">
        <f t="shared" si="8"/>
        <v>879458.44</v>
      </c>
    </row>
    <row r="14" spans="2:21">
      <c r="B14" s="214">
        <v>11</v>
      </c>
      <c r="C14" s="215">
        <f t="shared" si="6"/>
        <v>813192.18399999989</v>
      </c>
      <c r="D14" s="215">
        <f t="shared" si="0"/>
        <v>992094.46447999985</v>
      </c>
      <c r="E14" s="215">
        <f t="shared" si="1"/>
        <v>1170996.7449599998</v>
      </c>
      <c r="F14" s="215">
        <f t="shared" si="2"/>
        <v>1349899.02544</v>
      </c>
      <c r="G14" s="215">
        <f t="shared" si="3"/>
        <v>1528801.3059199997</v>
      </c>
      <c r="H14" s="215">
        <f t="shared" si="4"/>
        <v>1707703.5863999997</v>
      </c>
      <c r="I14" s="215">
        <f t="shared" si="5"/>
        <v>1886605.8668799999</v>
      </c>
      <c r="J14" s="218"/>
      <c r="K14" s="221"/>
      <c r="L14" s="221"/>
      <c r="M14" s="221"/>
      <c r="N14" s="221"/>
      <c r="R14" s="478">
        <v>726064.45</v>
      </c>
      <c r="S14" s="325"/>
      <c r="T14" s="227">
        <f t="shared" si="7"/>
        <v>87127.733999999997</v>
      </c>
      <c r="U14" s="227">
        <f t="shared" si="8"/>
        <v>813192.18399999989</v>
      </c>
    </row>
    <row r="15" spans="2:21">
      <c r="B15" s="214">
        <v>12</v>
      </c>
      <c r="C15" s="215">
        <f t="shared" si="6"/>
        <v>751212.89600000007</v>
      </c>
      <c r="D15" s="215">
        <f t="shared" si="0"/>
        <v>916479.73312000011</v>
      </c>
      <c r="E15" s="215">
        <f t="shared" si="1"/>
        <v>1081746.57024</v>
      </c>
      <c r="F15" s="215">
        <f t="shared" si="2"/>
        <v>1247013.4073600001</v>
      </c>
      <c r="G15" s="215">
        <f t="shared" si="3"/>
        <v>1412280.2444800001</v>
      </c>
      <c r="H15" s="215">
        <f t="shared" si="4"/>
        <v>1577547.0816000002</v>
      </c>
      <c r="I15" s="215">
        <f t="shared" si="5"/>
        <v>1742813.91872</v>
      </c>
      <c r="J15" s="218"/>
      <c r="K15" s="221"/>
      <c r="L15" s="221"/>
      <c r="M15" s="221"/>
      <c r="N15" s="221"/>
      <c r="R15" s="478">
        <v>670725.80000000005</v>
      </c>
      <c r="S15" s="325"/>
      <c r="T15" s="227">
        <f t="shared" si="7"/>
        <v>80487.096000000005</v>
      </c>
      <c r="U15" s="227">
        <f t="shared" si="8"/>
        <v>751212.89600000007</v>
      </c>
    </row>
    <row r="16" spans="2:21" ht="13.5" thickBot="1"/>
    <row r="17" spans="2:21" ht="13.5" thickBot="1">
      <c r="B17" s="330"/>
      <c r="J17" s="461" t="s">
        <v>377</v>
      </c>
      <c r="K17" s="462" t="s">
        <v>381</v>
      </c>
    </row>
    <row r="18" spans="2:21" ht="25.5">
      <c r="J18" s="463" t="s">
        <v>378</v>
      </c>
      <c r="K18" s="464"/>
      <c r="R18"/>
      <c r="S18" s="492" t="s">
        <v>377</v>
      </c>
      <c r="T18" s="493" t="s">
        <v>393</v>
      </c>
      <c r="U18" s="491" t="s">
        <v>394</v>
      </c>
    </row>
    <row r="19" spans="2:21">
      <c r="J19" s="465" t="s">
        <v>379</v>
      </c>
      <c r="K19" s="466">
        <v>3327194</v>
      </c>
      <c r="R19"/>
      <c r="S19" s="492" t="s">
        <v>378</v>
      </c>
      <c r="T19" s="494"/>
      <c r="U19" s="494"/>
    </row>
    <row r="20" spans="2:21" ht="13.5" thickBot="1">
      <c r="J20" s="467" t="s">
        <v>380</v>
      </c>
      <c r="K20" s="468">
        <v>3327194</v>
      </c>
      <c r="R20"/>
      <c r="S20" s="495" t="s">
        <v>379</v>
      </c>
      <c r="T20" s="496">
        <v>4918557</v>
      </c>
      <c r="U20" s="497">
        <f>+T20*1.12</f>
        <v>5508783.8400000008</v>
      </c>
    </row>
    <row r="21" spans="2:21" ht="13.5" thickBot="1">
      <c r="J21" s="469"/>
      <c r="K21" s="469"/>
      <c r="R21"/>
      <c r="S21" s="495" t="s">
        <v>380</v>
      </c>
      <c r="T21" s="496">
        <v>4427417</v>
      </c>
      <c r="U21" s="497">
        <f>+T21*1.12</f>
        <v>4958707.04</v>
      </c>
    </row>
    <row r="22" spans="2:21" ht="13.5" thickBot="1">
      <c r="J22" s="470" t="s">
        <v>383</v>
      </c>
      <c r="K22" s="471">
        <v>217915</v>
      </c>
      <c r="R22"/>
      <c r="S22" s="492" t="s">
        <v>382</v>
      </c>
      <c r="T22" s="494"/>
      <c r="U22" s="494"/>
    </row>
    <row r="23" spans="2:21">
      <c r="J23" s="469"/>
      <c r="K23" s="469"/>
      <c r="R23"/>
      <c r="S23" s="495" t="s">
        <v>383</v>
      </c>
      <c r="T23" s="496">
        <v>289973</v>
      </c>
      <c r="U23" s="497">
        <f>+T23*1.12</f>
        <v>324769.76</v>
      </c>
    </row>
    <row r="24" spans="2:21">
      <c r="I24" s="58" t="s">
        <v>8</v>
      </c>
      <c r="J24" s="472" t="s">
        <v>384</v>
      </c>
      <c r="K24" s="473">
        <v>35278</v>
      </c>
      <c r="R24"/>
      <c r="S24" s="498" t="s">
        <v>8</v>
      </c>
      <c r="T24" s="494"/>
      <c r="U24" s="494"/>
    </row>
    <row r="25" spans="2:21">
      <c r="R25" s="490"/>
      <c r="S25" s="495" t="s">
        <v>384</v>
      </c>
      <c r="T25" s="496">
        <v>44809</v>
      </c>
      <c r="U25" s="497">
        <f>+T25*1.12</f>
        <v>50186.080000000002</v>
      </c>
    </row>
    <row r="26" spans="2:21">
      <c r="R26"/>
      <c r="S26"/>
    </row>
  </sheetData>
  <pageMargins left="0.75" right="0.75" top="1" bottom="1" header="0.5" footer="0.5"/>
  <pageSetup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DAC 1 semestre 2026</vt:lpstr>
      <vt:lpstr> Tablas SAT, AAA &amp; Sutep</vt:lpstr>
      <vt:lpstr>'Presupuesto DAC 1 semestre 2026'!Área_de_impresión</vt:lpstr>
    </vt:vector>
  </TitlesOfParts>
  <Company>Gustavo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Natacha</dc:creator>
  <cp:lastModifiedBy>jluduena</cp:lastModifiedBy>
  <cp:lastPrinted>2025-12-15T17:43:36Z</cp:lastPrinted>
  <dcterms:created xsi:type="dcterms:W3CDTF">2001-08-21T19:51:46Z</dcterms:created>
  <dcterms:modified xsi:type="dcterms:W3CDTF">2025-12-18T14:07:41Z</dcterms:modified>
</cp:coreProperties>
</file>